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harts/chart13.xml" ContentType="application/vnd.openxmlformats-officedocument.drawingml.chart+xml"/>
  <Override PartName="/xl/drawings/drawing11.xml" ContentType="application/vnd.openxmlformats-officedocument.drawing+xml"/>
  <Override PartName="/xl/charts/chart14.xml" ContentType="application/vnd.openxmlformats-officedocument.drawingml.chart+xml"/>
  <Override PartName="/xl/drawings/drawing12.xml" ContentType="application/vnd.openxmlformats-officedocument.drawing+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daha\Downloads\"/>
    </mc:Choice>
  </mc:AlternateContent>
  <xr:revisionPtr revIDLastSave="0" documentId="8_{3A84D28A-CD86-4784-A857-1F4DFE3C1B79}" xr6:coauthVersionLast="47" xr6:coauthVersionMax="47" xr10:uidLastSave="{00000000-0000-0000-0000-000000000000}"/>
  <bookViews>
    <workbookView xWindow="-110" yWindow="-110" windowWidth="19420" windowHeight="10300" tabRatio="500" firstSheet="15" activeTab="3" xr2:uid="{00000000-000D-0000-FFFF-FFFF00000000}"/>
  </bookViews>
  <sheets>
    <sheet name="📊 Visual Dashboard" sheetId="1" r:id="rId1"/>
    <sheet name="Parameters" sheetId="4" r:id="rId2"/>
    <sheet name="Summary Dashboard" sheetId="7" r:id="rId3"/>
    <sheet name="30-Year Projection" sheetId="5" r:id="rId4"/>
    <sheet name="Investment Options" sheetId="2" r:id="rId5"/>
    <sheet name="Pension Drawdown" sheetId="3" r:id="rId6"/>
    <sheet name="Real Returns" sheetId="6" r:id="rId7"/>
    <sheet name="ChartData" sheetId="8" state="hidden" r:id="rId8"/>
    <sheet name="Age Pension &amp; Assets Test" sheetId="9" r:id="rId9"/>
    <sheet name="Super Tax Calculator" sheetId="10" r:id="rId10"/>
    <sheet name="Death Benefits &amp; Estate" sheetId="11" r:id="rId11"/>
    <sheet name="SMSF Guide" sheetId="12" r:id="rId12"/>
    <sheet name="Fund Choice &amp; Consolidation" sheetId="13" r:id="rId13"/>
    <sheet name="Fees — Silent Killer" sheetId="14" r:id="rId14"/>
    <sheet name="Fund Performance &amp; Returns" sheetId="15" r:id="rId15"/>
    <sheet name="Gender Gap in Super" sheetId="16" r:id="rId16"/>
    <sheet name="FHSS Scheme" sheetId="17" r:id="rId17"/>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38" i="17" l="1"/>
  <c r="E38" i="17"/>
  <c r="D38" i="17"/>
  <c r="C38" i="17"/>
  <c r="F36" i="17"/>
  <c r="E36" i="17"/>
  <c r="D36" i="17"/>
  <c r="C36" i="17"/>
  <c r="F32" i="17"/>
  <c r="F39" i="17" s="1"/>
  <c r="E32" i="17"/>
  <c r="E39" i="17" s="1"/>
  <c r="D32" i="17"/>
  <c r="D39" i="17" s="1"/>
  <c r="C32" i="17"/>
  <c r="C39" i="17" s="1"/>
  <c r="I20" i="17"/>
  <c r="J19" i="17"/>
  <c r="J20" i="17" s="1"/>
  <c r="J22" i="17" s="1"/>
  <c r="I19" i="17"/>
  <c r="I16" i="17"/>
  <c r="K15" i="17"/>
  <c r="J15" i="17"/>
  <c r="I15" i="17"/>
  <c r="K19" i="17" s="1"/>
  <c r="K20" i="17" s="1"/>
  <c r="D45" i="16"/>
  <c r="D44" i="16"/>
  <c r="E42" i="16"/>
  <c r="E41" i="16"/>
  <c r="E40" i="16"/>
  <c r="E39" i="16"/>
  <c r="K37" i="16"/>
  <c r="K38" i="16" s="1"/>
  <c r="K36" i="16"/>
  <c r="K39" i="16" s="1"/>
  <c r="K35" i="16"/>
  <c r="K34" i="16"/>
  <c r="S24" i="16"/>
  <c r="S25" i="16" s="1"/>
  <c r="S23" i="16"/>
  <c r="S22" i="16"/>
  <c r="S21" i="16"/>
  <c r="R21" i="16"/>
  <c r="R24" i="16" s="1"/>
  <c r="R26" i="16" s="1"/>
  <c r="S20" i="16"/>
  <c r="R20" i="16"/>
  <c r="P52" i="15"/>
  <c r="P51" i="15"/>
  <c r="O51" i="15"/>
  <c r="P50" i="15"/>
  <c r="O50" i="15"/>
  <c r="O52" i="15" s="1"/>
  <c r="E38" i="15"/>
  <c r="D38" i="15"/>
  <c r="C38" i="15"/>
  <c r="E37" i="15"/>
  <c r="D37" i="15"/>
  <c r="C37" i="15"/>
  <c r="E36" i="15"/>
  <c r="D36" i="15"/>
  <c r="C36" i="15"/>
  <c r="E35" i="15"/>
  <c r="D35" i="15"/>
  <c r="C35" i="15"/>
  <c r="F34" i="15"/>
  <c r="E34" i="15"/>
  <c r="D34" i="15"/>
  <c r="C34" i="15"/>
  <c r="F37" i="14"/>
  <c r="E37" i="14"/>
  <c r="D37" i="14"/>
  <c r="C37" i="14"/>
  <c r="F36" i="14"/>
  <c r="E36" i="14"/>
  <c r="D36" i="14"/>
  <c r="C36" i="14"/>
  <c r="F35" i="14"/>
  <c r="E35" i="14"/>
  <c r="D35" i="14"/>
  <c r="C35" i="14"/>
  <c r="F34" i="14"/>
  <c r="F38" i="14" s="1"/>
  <c r="E34" i="14"/>
  <c r="E38" i="14" s="1"/>
  <c r="D34" i="14"/>
  <c r="D38" i="14" s="1"/>
  <c r="C34" i="14"/>
  <c r="E41" i="14" s="1"/>
  <c r="F33" i="14"/>
  <c r="E33" i="14"/>
  <c r="D33" i="14"/>
  <c r="C33" i="14"/>
  <c r="F32" i="14"/>
  <c r="E32" i="14"/>
  <c r="D32" i="14"/>
  <c r="C32" i="14"/>
  <c r="F50" i="13"/>
  <c r="E50" i="13"/>
  <c r="D50" i="13"/>
  <c r="C50" i="13"/>
  <c r="F47" i="13"/>
  <c r="F52" i="13" s="1"/>
  <c r="E47" i="13"/>
  <c r="E48" i="13" s="1"/>
  <c r="D47" i="13"/>
  <c r="E52" i="13" s="1"/>
  <c r="C47" i="13"/>
  <c r="D51" i="13" s="1"/>
  <c r="F46" i="13"/>
  <c r="E46" i="13"/>
  <c r="D46" i="13"/>
  <c r="C46" i="13"/>
  <c r="F45" i="13"/>
  <c r="E45" i="13"/>
  <c r="D45" i="13"/>
  <c r="C45" i="13"/>
  <c r="I44" i="13"/>
  <c r="F44" i="13"/>
  <c r="E44" i="13"/>
  <c r="D44" i="13"/>
  <c r="C44" i="13"/>
  <c r="I43" i="13"/>
  <c r="I45" i="13" s="1"/>
  <c r="I46" i="13" s="1"/>
  <c r="I42" i="13"/>
  <c r="I41" i="13"/>
  <c r="I40" i="13"/>
  <c r="I39" i="13"/>
  <c r="I38" i="13"/>
  <c r="D59" i="12"/>
  <c r="C59" i="12"/>
  <c r="D58" i="12"/>
  <c r="C58" i="12"/>
  <c r="D57" i="12"/>
  <c r="C57" i="12"/>
  <c r="D56" i="12"/>
  <c r="C56" i="12"/>
  <c r="D55" i="12"/>
  <c r="C55" i="12"/>
  <c r="J54" i="12"/>
  <c r="D54" i="12"/>
  <c r="C54" i="12"/>
  <c r="D53" i="12"/>
  <c r="C53" i="12"/>
  <c r="D52" i="12"/>
  <c r="C52" i="12"/>
  <c r="J51" i="12"/>
  <c r="D51" i="12"/>
  <c r="C51" i="12"/>
  <c r="D50" i="12"/>
  <c r="C50" i="12"/>
  <c r="J49" i="12"/>
  <c r="J47" i="12"/>
  <c r="F44" i="12"/>
  <c r="F43" i="12"/>
  <c r="D42" i="12"/>
  <c r="C41" i="12"/>
  <c r="E40" i="12"/>
  <c r="J39" i="12"/>
  <c r="J48" i="12" s="1"/>
  <c r="D39" i="12"/>
  <c r="E45" i="12" s="1"/>
  <c r="C38" i="12"/>
  <c r="F46" i="11"/>
  <c r="E46" i="11"/>
  <c r="D46" i="11"/>
  <c r="C46" i="11"/>
  <c r="F45" i="11"/>
  <c r="F47" i="11" s="1"/>
  <c r="E45" i="11"/>
  <c r="D45" i="11"/>
  <c r="D47" i="11" s="1"/>
  <c r="C45" i="11"/>
  <c r="C47" i="11" s="1"/>
  <c r="F44" i="11"/>
  <c r="E44" i="11"/>
  <c r="E47" i="11" s="1"/>
  <c r="D44" i="11"/>
  <c r="C44" i="11"/>
  <c r="F43" i="11"/>
  <c r="E43" i="11"/>
  <c r="D43" i="11"/>
  <c r="C43" i="11"/>
  <c r="F42" i="11"/>
  <c r="E42" i="11"/>
  <c r="D42" i="11"/>
  <c r="C42" i="11"/>
  <c r="F41" i="11"/>
  <c r="E41" i="11"/>
  <c r="D41" i="11"/>
  <c r="C41" i="11"/>
  <c r="C38" i="11"/>
  <c r="S25" i="10"/>
  <c r="S26" i="10" s="1"/>
  <c r="S24" i="10"/>
  <c r="S27" i="10" s="1"/>
  <c r="C24" i="10"/>
  <c r="C20" i="10"/>
  <c r="C21" i="10" s="1"/>
  <c r="C22" i="10" s="1"/>
  <c r="P19" i="10"/>
  <c r="P18" i="10"/>
  <c r="P20" i="10" s="1"/>
  <c r="P22" i="10" s="1"/>
  <c r="S17" i="10"/>
  <c r="S18" i="10" s="1"/>
  <c r="K14" i="10"/>
  <c r="K17" i="10" s="1"/>
  <c r="K18" i="10" s="1"/>
  <c r="K13" i="10"/>
  <c r="L23" i="9"/>
  <c r="L21" i="9"/>
  <c r="L22" i="9" s="1"/>
  <c r="L24" i="9" s="1"/>
  <c r="L25" i="9" s="1"/>
  <c r="L26" i="9" s="1"/>
  <c r="L20" i="9"/>
  <c r="L15" i="9"/>
  <c r="L14" i="9"/>
  <c r="L16" i="9" s="1"/>
  <c r="L17" i="9" s="1"/>
  <c r="L18" i="9" s="1"/>
  <c r="L28" i="9" s="1"/>
  <c r="L29" i="9" s="1"/>
  <c r="B15" i="7"/>
  <c r="B14" i="7"/>
  <c r="B13" i="7"/>
  <c r="B12" i="7"/>
  <c r="B11" i="7"/>
  <c r="B10" i="7"/>
  <c r="B9" i="7"/>
  <c r="B8" i="7"/>
  <c r="B7" i="7"/>
  <c r="B6" i="7"/>
  <c r="B5" i="7"/>
  <c r="B4" i="7"/>
  <c r="E33" i="6"/>
  <c r="E32" i="6"/>
  <c r="E31" i="6"/>
  <c r="E30" i="6"/>
  <c r="C30" i="6"/>
  <c r="E29" i="6"/>
  <c r="E28" i="6"/>
  <c r="E27" i="6"/>
  <c r="E26" i="6"/>
  <c r="E25" i="6"/>
  <c r="E24" i="6"/>
  <c r="E23" i="6"/>
  <c r="E22" i="6"/>
  <c r="E21" i="6"/>
  <c r="E20" i="6"/>
  <c r="E19" i="6"/>
  <c r="E18" i="6"/>
  <c r="E17" i="6"/>
  <c r="E16" i="6"/>
  <c r="E15" i="6"/>
  <c r="E14" i="6"/>
  <c r="E13" i="6"/>
  <c r="E12" i="6"/>
  <c r="E11" i="6"/>
  <c r="E10" i="6"/>
  <c r="E9" i="6"/>
  <c r="E8" i="6"/>
  <c r="E7" i="6"/>
  <c r="E6" i="6"/>
  <c r="E5" i="6"/>
  <c r="E4" i="6"/>
  <c r="C33" i="5"/>
  <c r="B33" i="5"/>
  <c r="B33" i="6" s="1"/>
  <c r="C32" i="5"/>
  <c r="B30" i="8" s="1"/>
  <c r="B32" i="5"/>
  <c r="B32" i="6" s="1"/>
  <c r="C31" i="5"/>
  <c r="B29" i="8" s="1"/>
  <c r="B31" i="5"/>
  <c r="B31" i="6" s="1"/>
  <c r="C30" i="5"/>
  <c r="B28" i="8" s="1"/>
  <c r="B30" i="5"/>
  <c r="B30" i="6" s="1"/>
  <c r="C29" i="5"/>
  <c r="B27" i="8" s="1"/>
  <c r="B29" i="5"/>
  <c r="B29" i="6" s="1"/>
  <c r="C28" i="5"/>
  <c r="B28" i="5"/>
  <c r="B28" i="6" s="1"/>
  <c r="C27" i="5"/>
  <c r="B27" i="5"/>
  <c r="B27" i="6" s="1"/>
  <c r="C26" i="5"/>
  <c r="B26" i="5"/>
  <c r="B26" i="6" s="1"/>
  <c r="C25" i="5"/>
  <c r="B25" i="5"/>
  <c r="B25" i="6" s="1"/>
  <c r="C24" i="5"/>
  <c r="B22" i="8" s="1"/>
  <c r="B24" i="5"/>
  <c r="B24" i="6" s="1"/>
  <c r="C23" i="5"/>
  <c r="B23" i="5"/>
  <c r="B23" i="6" s="1"/>
  <c r="C22" i="5"/>
  <c r="B22" i="5"/>
  <c r="B22" i="6" s="1"/>
  <c r="C21" i="5"/>
  <c r="B19" i="8" s="1"/>
  <c r="B21" i="5"/>
  <c r="B21" i="6" s="1"/>
  <c r="C20" i="5"/>
  <c r="B20" i="5"/>
  <c r="B20" i="6" s="1"/>
  <c r="C19" i="5"/>
  <c r="B19" i="5"/>
  <c r="B19" i="6" s="1"/>
  <c r="C18" i="5"/>
  <c r="C18" i="6" s="1"/>
  <c r="B18" i="5"/>
  <c r="B18" i="6" s="1"/>
  <c r="C17" i="5"/>
  <c r="B15" i="8" s="1"/>
  <c r="B17" i="5"/>
  <c r="B17" i="6" s="1"/>
  <c r="C16" i="5"/>
  <c r="B16" i="5"/>
  <c r="B16" i="6" s="1"/>
  <c r="C15" i="5"/>
  <c r="B15" i="5"/>
  <c r="B15" i="6" s="1"/>
  <c r="C14" i="5"/>
  <c r="B14" i="5"/>
  <c r="B14" i="6" s="1"/>
  <c r="C13" i="5"/>
  <c r="B11" i="8" s="1"/>
  <c r="B13" i="5"/>
  <c r="B13" i="6" s="1"/>
  <c r="C12" i="5"/>
  <c r="B12" i="5"/>
  <c r="B12" i="6" s="1"/>
  <c r="C11" i="5"/>
  <c r="B9" i="8" s="1"/>
  <c r="B11" i="5"/>
  <c r="B11" i="6" s="1"/>
  <c r="C10" i="5"/>
  <c r="B10" i="5"/>
  <c r="B10" i="6" s="1"/>
  <c r="C9" i="5"/>
  <c r="B9" i="5"/>
  <c r="B9" i="6" s="1"/>
  <c r="C8" i="5"/>
  <c r="B8" i="5"/>
  <c r="B8" i="6" s="1"/>
  <c r="C7" i="5"/>
  <c r="B7" i="5"/>
  <c r="B7" i="6" s="1"/>
  <c r="C6" i="5"/>
  <c r="B6" i="5"/>
  <c r="B6" i="6" s="1"/>
  <c r="N5" i="5"/>
  <c r="M3" i="8" s="1"/>
  <c r="H5" i="5"/>
  <c r="G3" i="8" s="1"/>
  <c r="C5" i="5"/>
  <c r="B3" i="8" s="1"/>
  <c r="B5" i="5"/>
  <c r="B5" i="6" s="1"/>
  <c r="N4" i="5"/>
  <c r="H4" i="5"/>
  <c r="G4" i="5"/>
  <c r="G5" i="5" s="1"/>
  <c r="E4" i="5"/>
  <c r="D4" i="5"/>
  <c r="C4" i="5"/>
  <c r="B4" i="5"/>
  <c r="B4" i="6" s="1"/>
  <c r="D60" i="3"/>
  <c r="B60" i="3"/>
  <c r="B69" i="9" s="1"/>
  <c r="B59" i="3"/>
  <c r="B68" i="9" s="1"/>
  <c r="B58" i="3"/>
  <c r="B57" i="3"/>
  <c r="B66" i="9" s="1"/>
  <c r="B56" i="3"/>
  <c r="B65" i="9" s="1"/>
  <c r="D55" i="3"/>
  <c r="B55" i="3"/>
  <c r="B64" i="9" s="1"/>
  <c r="D54" i="3"/>
  <c r="B54" i="3"/>
  <c r="B63" i="9" s="1"/>
  <c r="B53" i="3"/>
  <c r="D52" i="3"/>
  <c r="B52" i="3"/>
  <c r="B61" i="9" s="1"/>
  <c r="B51" i="3"/>
  <c r="B60" i="9" s="1"/>
  <c r="B50" i="3"/>
  <c r="B49" i="3"/>
  <c r="B58" i="9" s="1"/>
  <c r="B48" i="3"/>
  <c r="B57" i="9" s="1"/>
  <c r="D47" i="3"/>
  <c r="B47" i="3"/>
  <c r="B56" i="9" s="1"/>
  <c r="D46" i="3"/>
  <c r="B46" i="3"/>
  <c r="B55" i="9" s="1"/>
  <c r="B45" i="3"/>
  <c r="D44" i="3"/>
  <c r="B44" i="3"/>
  <c r="B43" i="3"/>
  <c r="B52" i="9" s="1"/>
  <c r="B42" i="3"/>
  <c r="B41" i="3"/>
  <c r="B50" i="9" s="1"/>
  <c r="B40" i="3"/>
  <c r="B49" i="9" s="1"/>
  <c r="D39" i="3"/>
  <c r="B39" i="3"/>
  <c r="B48" i="9" s="1"/>
  <c r="D38" i="3"/>
  <c r="B38" i="3"/>
  <c r="B47" i="9" s="1"/>
  <c r="B37" i="3"/>
  <c r="B36" i="3"/>
  <c r="D35" i="3"/>
  <c r="B35" i="3"/>
  <c r="B44" i="9" s="1"/>
  <c r="B34" i="3"/>
  <c r="B43" i="9" s="1"/>
  <c r="D33" i="3"/>
  <c r="B33" i="3"/>
  <c r="B42" i="9" s="1"/>
  <c r="B32" i="3"/>
  <c r="D31" i="3"/>
  <c r="B31" i="3"/>
  <c r="B40" i="9" s="1"/>
  <c r="D30" i="3"/>
  <c r="B30" i="3"/>
  <c r="B39" i="9" s="1"/>
  <c r="B29" i="3"/>
  <c r="B28" i="3"/>
  <c r="S27" i="3"/>
  <c r="D27" i="3"/>
  <c r="B27" i="3"/>
  <c r="B36" i="9" s="1"/>
  <c r="D26" i="3"/>
  <c r="B26" i="3"/>
  <c r="B35" i="9" s="1"/>
  <c r="L35" i="9" s="1"/>
  <c r="N25" i="3"/>
  <c r="I25" i="3"/>
  <c r="C25" i="3"/>
  <c r="B25" i="3"/>
  <c r="B34" i="9" s="1"/>
  <c r="L34" i="9" s="1"/>
  <c r="P11" i="3"/>
  <c r="L53" i="2"/>
  <c r="K53" i="2"/>
  <c r="J53" i="2"/>
  <c r="L52" i="2"/>
  <c r="K52" i="2"/>
  <c r="J52" i="2"/>
  <c r="L51" i="2"/>
  <c r="K51" i="2"/>
  <c r="J51" i="2"/>
  <c r="L50" i="2"/>
  <c r="K50" i="2"/>
  <c r="J50" i="2"/>
  <c r="L49" i="2"/>
  <c r="K49" i="2"/>
  <c r="J49" i="2"/>
  <c r="L48" i="2"/>
  <c r="K48" i="2"/>
  <c r="J48" i="2"/>
  <c r="L47" i="2"/>
  <c r="K47" i="2"/>
  <c r="J47" i="2"/>
  <c r="L46" i="2"/>
  <c r="K46" i="2"/>
  <c r="J46" i="2"/>
  <c r="L45" i="2"/>
  <c r="K45" i="2"/>
  <c r="J45" i="2"/>
  <c r="L44" i="2"/>
  <c r="K44" i="2"/>
  <c r="J44" i="2"/>
  <c r="L43" i="2"/>
  <c r="K43" i="2"/>
  <c r="J43" i="2"/>
  <c r="L42" i="2"/>
  <c r="K42" i="2"/>
  <c r="J42" i="2"/>
  <c r="L41" i="2"/>
  <c r="K41" i="2"/>
  <c r="J41" i="2"/>
  <c r="L40" i="2"/>
  <c r="K40" i="2"/>
  <c r="J40" i="2"/>
  <c r="L39" i="2"/>
  <c r="K39" i="2"/>
  <c r="J39" i="2"/>
  <c r="L38" i="2"/>
  <c r="K38" i="2"/>
  <c r="J38" i="2"/>
  <c r="L37" i="2"/>
  <c r="K37" i="2"/>
  <c r="J37" i="2"/>
  <c r="L36" i="2"/>
  <c r="K36" i="2"/>
  <c r="J36" i="2"/>
  <c r="L35" i="2"/>
  <c r="K35" i="2"/>
  <c r="J35" i="2"/>
  <c r="L34" i="2"/>
  <c r="K34" i="2"/>
  <c r="J34" i="2"/>
  <c r="L33" i="2"/>
  <c r="K33" i="2"/>
  <c r="J33" i="2"/>
  <c r="L32" i="2"/>
  <c r="K32" i="2"/>
  <c r="J32" i="2"/>
  <c r="L31" i="2"/>
  <c r="K31" i="2"/>
  <c r="J31" i="2"/>
  <c r="L30" i="2"/>
  <c r="K30" i="2"/>
  <c r="J30" i="2"/>
  <c r="L29" i="2"/>
  <c r="K29" i="2"/>
  <c r="J29" i="2"/>
  <c r="L28" i="2"/>
  <c r="K28" i="2"/>
  <c r="J28" i="2"/>
  <c r="L27" i="2"/>
  <c r="K27" i="2"/>
  <c r="J27" i="2"/>
  <c r="L26" i="2"/>
  <c r="K26" i="2"/>
  <c r="J26" i="2"/>
  <c r="L25" i="2"/>
  <c r="K25" i="2"/>
  <c r="J25" i="2"/>
  <c r="L24" i="2"/>
  <c r="K24" i="2"/>
  <c r="J24" i="2"/>
  <c r="L23" i="2"/>
  <c r="K23" i="2"/>
  <c r="J23" i="2"/>
  <c r="K20" i="2"/>
  <c r="J20" i="2"/>
  <c r="L19" i="2"/>
  <c r="K19" i="2"/>
  <c r="J19" i="2"/>
  <c r="S18" i="2"/>
  <c r="S19" i="2" s="1"/>
  <c r="L18" i="2"/>
  <c r="Y17" i="2"/>
  <c r="S17" i="2"/>
  <c r="L17" i="2"/>
  <c r="K17" i="2"/>
  <c r="J17" i="2"/>
  <c r="J18" i="2" s="1"/>
  <c r="Y16" i="2"/>
  <c r="T16" i="2"/>
  <c r="T17" i="2" s="1"/>
  <c r="T18" i="2" s="1"/>
  <c r="T19" i="2" s="1"/>
  <c r="S16" i="2"/>
  <c r="L16" i="2"/>
  <c r="L20" i="2" s="1"/>
  <c r="K16" i="2"/>
  <c r="K18" i="2" s="1"/>
  <c r="J16" i="2"/>
  <c r="Y15" i="2"/>
  <c r="L15" i="2"/>
  <c r="K15" i="2"/>
  <c r="J15" i="2"/>
  <c r="X14" i="2"/>
  <c r="L14" i="2"/>
  <c r="K14" i="2"/>
  <c r="J14" i="2"/>
  <c r="W13" i="2"/>
  <c r="U5" i="1"/>
  <c r="S5" i="1"/>
  <c r="Q5" i="1"/>
  <c r="C5" i="1"/>
  <c r="B51" i="9" l="1"/>
  <c r="D42" i="3"/>
  <c r="S21" i="2"/>
  <c r="S22" i="2"/>
  <c r="S20" i="2"/>
  <c r="U20" i="2"/>
  <c r="B38" i="9"/>
  <c r="D29" i="3"/>
  <c r="B41" i="9"/>
  <c r="D32" i="3"/>
  <c r="B54" i="9"/>
  <c r="D45" i="3"/>
  <c r="B62" i="9"/>
  <c r="D53" i="3"/>
  <c r="B67" i="9"/>
  <c r="D58" i="3"/>
  <c r="J25" i="3"/>
  <c r="B45" i="9"/>
  <c r="B59" i="9"/>
  <c r="D50" i="3"/>
  <c r="B37" i="9"/>
  <c r="F4" i="5"/>
  <c r="E5" i="5"/>
  <c r="C10" i="6"/>
  <c r="B8" i="8"/>
  <c r="B10" i="8"/>
  <c r="C12" i="6"/>
  <c r="D36" i="3"/>
  <c r="B53" i="9"/>
  <c r="F3" i="8"/>
  <c r="G6" i="5"/>
  <c r="D34" i="3"/>
  <c r="D25" i="3"/>
  <c r="E25" i="3" s="1"/>
  <c r="O25" i="3"/>
  <c r="D28" i="3"/>
  <c r="B46" i="9"/>
  <c r="D37" i="3"/>
  <c r="B7" i="8"/>
  <c r="C9" i="6"/>
  <c r="C15" i="6"/>
  <c r="B13" i="8"/>
  <c r="B2" i="8"/>
  <c r="C4" i="6"/>
  <c r="B14" i="8"/>
  <c r="C16" i="6"/>
  <c r="H6" i="5"/>
  <c r="B5" i="8"/>
  <c r="C7" i="6"/>
  <c r="B21" i="8"/>
  <c r="C23" i="6"/>
  <c r="D43" i="3"/>
  <c r="D51" i="3"/>
  <c r="D59" i="3"/>
  <c r="M2" i="8"/>
  <c r="F2" i="8"/>
  <c r="B6" i="8"/>
  <c r="C8" i="6"/>
  <c r="D41" i="3"/>
  <c r="D49" i="3"/>
  <c r="D57" i="3"/>
  <c r="G2" i="8"/>
  <c r="B4" i="8"/>
  <c r="C6" i="6"/>
  <c r="N6" i="5"/>
  <c r="B18" i="8"/>
  <c r="C20" i="6"/>
  <c r="D40" i="3"/>
  <c r="D48" i="3"/>
  <c r="D56" i="3"/>
  <c r="C19" i="6"/>
  <c r="B17" i="8"/>
  <c r="C27" i="6"/>
  <c r="B25" i="8"/>
  <c r="C17" i="6"/>
  <c r="C26" i="6"/>
  <c r="B24" i="8"/>
  <c r="C14" i="6"/>
  <c r="B20" i="8"/>
  <c r="B23" i="8"/>
  <c r="C25" i="6"/>
  <c r="B31" i="8"/>
  <c r="C33" i="6"/>
  <c r="C24" i="6"/>
  <c r="C32" i="6"/>
  <c r="C5" i="6"/>
  <c r="C13" i="6"/>
  <c r="C22" i="6"/>
  <c r="K26" i="10"/>
  <c r="K25" i="10"/>
  <c r="B12" i="8"/>
  <c r="C11" i="6"/>
  <c r="B16" i="8"/>
  <c r="C21" i="6"/>
  <c r="B26" i="8"/>
  <c r="C28" i="6"/>
  <c r="C29" i="6"/>
  <c r="C31" i="6"/>
  <c r="E49" i="11"/>
  <c r="E54" i="11"/>
  <c r="E48" i="11"/>
  <c r="E55" i="11" s="1"/>
  <c r="S20" i="10"/>
  <c r="S19" i="10"/>
  <c r="S21" i="10" s="1"/>
  <c r="C54" i="11"/>
  <c r="C48" i="11"/>
  <c r="C55" i="11" s="1"/>
  <c r="C49" i="11"/>
  <c r="C40" i="17"/>
  <c r="P25" i="10"/>
  <c r="P24" i="10"/>
  <c r="D49" i="11"/>
  <c r="D54" i="11"/>
  <c r="D48" i="11"/>
  <c r="D55" i="11" s="1"/>
  <c r="K21" i="17"/>
  <c r="K22" i="17" s="1"/>
  <c r="K24" i="17" s="1"/>
  <c r="D40" i="17"/>
  <c r="D41" i="17" s="1"/>
  <c r="J50" i="12"/>
  <c r="J52" i="12" s="1"/>
  <c r="J53" i="12" s="1"/>
  <c r="J55" i="12"/>
  <c r="J56" i="12" s="1"/>
  <c r="E40" i="17"/>
  <c r="E41" i="17" s="1"/>
  <c r="C23" i="10"/>
  <c r="C25" i="10"/>
  <c r="F49" i="11"/>
  <c r="F54" i="11"/>
  <c r="F48" i="11"/>
  <c r="F55" i="11" s="1"/>
  <c r="F40" i="17"/>
  <c r="F41" i="17" s="1"/>
  <c r="K19" i="10"/>
  <c r="K20" i="10" s="1"/>
  <c r="P21" i="10"/>
  <c r="P23" i="10" s="1"/>
  <c r="K24" i="10"/>
  <c r="D48" i="13"/>
  <c r="E51" i="13"/>
  <c r="F41" i="14"/>
  <c r="F51" i="13"/>
  <c r="I17" i="17"/>
  <c r="I21" i="17"/>
  <c r="I22" i="17" s="1"/>
  <c r="K15" i="10"/>
  <c r="F48" i="13"/>
  <c r="C52" i="13"/>
  <c r="D39" i="14"/>
  <c r="I18" i="17"/>
  <c r="C37" i="17"/>
  <c r="D52" i="13"/>
  <c r="E39" i="14"/>
  <c r="D37" i="17"/>
  <c r="F39" i="14"/>
  <c r="E37" i="17"/>
  <c r="K23" i="10"/>
  <c r="C41" i="14"/>
  <c r="F37" i="17"/>
  <c r="C38" i="14"/>
  <c r="D41" i="14"/>
  <c r="C48" i="13"/>
  <c r="K23" i="17" l="1"/>
  <c r="J23" i="17"/>
  <c r="J24" i="17"/>
  <c r="D34" i="9"/>
  <c r="F25" i="3"/>
  <c r="G25" i="3" s="1"/>
  <c r="F4" i="8"/>
  <c r="G7" i="5"/>
  <c r="M4" i="8"/>
  <c r="N7" i="5"/>
  <c r="F42" i="17"/>
  <c r="E42" i="17"/>
  <c r="D42" i="17"/>
  <c r="G4" i="8"/>
  <c r="H7" i="5"/>
  <c r="E6" i="5"/>
  <c r="F5" i="5"/>
  <c r="E2" i="8"/>
  <c r="I4" i="5"/>
  <c r="K4" i="5"/>
  <c r="K25" i="3"/>
  <c r="P25" i="3"/>
  <c r="C34" i="9" l="1"/>
  <c r="E34" i="9" s="1"/>
  <c r="C26" i="3"/>
  <c r="K5" i="5"/>
  <c r="J3" i="8" s="1"/>
  <c r="E3" i="8"/>
  <c r="I5" i="5"/>
  <c r="N2" i="8"/>
  <c r="E7" i="5"/>
  <c r="F6" i="5"/>
  <c r="M5" i="8"/>
  <c r="N8" i="5"/>
  <c r="F5" i="8"/>
  <c r="G8" i="5"/>
  <c r="H2" i="8"/>
  <c r="M4" i="5"/>
  <c r="J4" i="5"/>
  <c r="G5" i="8"/>
  <c r="H8" i="5"/>
  <c r="J2" i="8"/>
  <c r="Q25" i="3"/>
  <c r="L25" i="3"/>
  <c r="E8" i="5" l="1"/>
  <c r="F7" i="5"/>
  <c r="H3" i="8"/>
  <c r="G6" i="8"/>
  <c r="H9" i="5"/>
  <c r="G9" i="5"/>
  <c r="F6" i="8"/>
  <c r="I26" i="3"/>
  <c r="S25" i="3"/>
  <c r="M6" i="8"/>
  <c r="N9" i="5"/>
  <c r="E26" i="3"/>
  <c r="E4" i="8"/>
  <c r="K6" i="5"/>
  <c r="I6" i="5"/>
  <c r="N26" i="3"/>
  <c r="I2" i="8"/>
  <c r="H4" i="6"/>
  <c r="L4" i="5"/>
  <c r="N3" i="8"/>
  <c r="L2" i="8"/>
  <c r="G34" i="9"/>
  <c r="F34" i="9"/>
  <c r="H34" i="9" s="1"/>
  <c r="M7" i="8" l="1"/>
  <c r="N10" i="5"/>
  <c r="O26" i="3"/>
  <c r="G10" i="5"/>
  <c r="F7" i="8"/>
  <c r="J4" i="8"/>
  <c r="H4" i="8"/>
  <c r="J26" i="3"/>
  <c r="E5" i="8"/>
  <c r="I7" i="5"/>
  <c r="K7" i="5"/>
  <c r="J5" i="8" s="1"/>
  <c r="N4" i="8"/>
  <c r="N5" i="8"/>
  <c r="D35" i="9"/>
  <c r="O2" i="8"/>
  <c r="G26" i="3"/>
  <c r="F8" i="5"/>
  <c r="E9" i="5"/>
  <c r="H10" i="5"/>
  <c r="G7" i="8"/>
  <c r="K2" i="8"/>
  <c r="O4" i="5"/>
  <c r="I34" i="9"/>
  <c r="J34" i="9" s="1"/>
  <c r="K34" i="9" s="1"/>
  <c r="F26" i="3"/>
  <c r="C35" i="9" l="1"/>
  <c r="E35" i="9" s="1"/>
  <c r="C27" i="3"/>
  <c r="H5" i="8"/>
  <c r="P26" i="3"/>
  <c r="H11" i="5"/>
  <c r="G8" i="8"/>
  <c r="M8" i="8"/>
  <c r="N11" i="5"/>
  <c r="G4" i="6"/>
  <c r="P4" i="5"/>
  <c r="F9" i="5"/>
  <c r="E10" i="5"/>
  <c r="E6" i="8"/>
  <c r="I8" i="5"/>
  <c r="K8" i="5"/>
  <c r="K26" i="3"/>
  <c r="N6" i="8"/>
  <c r="L26" i="3"/>
  <c r="F8" i="8"/>
  <c r="G11" i="5"/>
  <c r="J6" i="8" l="1"/>
  <c r="F9" i="8"/>
  <c r="G12" i="5"/>
  <c r="I27" i="3"/>
  <c r="C2" i="8"/>
  <c r="D4" i="6"/>
  <c r="F4" i="6" s="1"/>
  <c r="D2" i="8" s="1"/>
  <c r="D5" i="5"/>
  <c r="H6" i="8"/>
  <c r="S26" i="3"/>
  <c r="F27" i="3"/>
  <c r="G27" i="3" s="1"/>
  <c r="E27" i="3"/>
  <c r="G9" i="8"/>
  <c r="H12" i="5"/>
  <c r="F35" i="9"/>
  <c r="G35" i="9"/>
  <c r="M9" i="8"/>
  <c r="N12" i="5"/>
  <c r="E11" i="5"/>
  <c r="F10" i="5"/>
  <c r="E7" i="8"/>
  <c r="K9" i="5"/>
  <c r="J7" i="8" s="1"/>
  <c r="I9" i="5"/>
  <c r="Q26" i="3"/>
  <c r="C36" i="9" l="1"/>
  <c r="E36" i="9" s="1"/>
  <c r="C28" i="3"/>
  <c r="E8" i="8"/>
  <c r="I10" i="5"/>
  <c r="K10" i="5"/>
  <c r="J8" i="8" s="1"/>
  <c r="H35" i="9"/>
  <c r="J27" i="3"/>
  <c r="K27" i="3" s="1"/>
  <c r="F10" i="8"/>
  <c r="G13" i="5"/>
  <c r="I35" i="9"/>
  <c r="G10" i="8"/>
  <c r="H13" i="5"/>
  <c r="E12" i="5"/>
  <c r="F11" i="5"/>
  <c r="N27" i="3"/>
  <c r="M10" i="8"/>
  <c r="N13" i="5"/>
  <c r="H7" i="8"/>
  <c r="D36" i="9"/>
  <c r="J5" i="5"/>
  <c r="M5" i="5"/>
  <c r="N7" i="8"/>
  <c r="J35" i="9" l="1"/>
  <c r="E13" i="5"/>
  <c r="F12" i="5"/>
  <c r="M11" i="8"/>
  <c r="N14" i="5"/>
  <c r="E9" i="8"/>
  <c r="I11" i="5"/>
  <c r="K11" i="5"/>
  <c r="L27" i="3"/>
  <c r="L3" i="8"/>
  <c r="N8" i="8"/>
  <c r="F11" i="8"/>
  <c r="G14" i="5"/>
  <c r="E28" i="3"/>
  <c r="G11" i="8"/>
  <c r="H14" i="5"/>
  <c r="F36" i="9"/>
  <c r="G36" i="9"/>
  <c r="L36" i="9"/>
  <c r="I3" i="8"/>
  <c r="H5" i="6"/>
  <c r="L5" i="5"/>
  <c r="O5" i="5"/>
  <c r="P27" i="3"/>
  <c r="Q27" i="3" s="1"/>
  <c r="O27" i="3"/>
  <c r="H8" i="8"/>
  <c r="N28" i="3" l="1"/>
  <c r="D37" i="9"/>
  <c r="E14" i="5"/>
  <c r="F13" i="5"/>
  <c r="G5" i="6"/>
  <c r="P5" i="5"/>
  <c r="J9" i="8"/>
  <c r="H9" i="8"/>
  <c r="K35" i="9"/>
  <c r="F28" i="3"/>
  <c r="E10" i="8"/>
  <c r="N10" i="8" s="1"/>
  <c r="I12" i="5"/>
  <c r="K12" i="5"/>
  <c r="J10" i="8" s="1"/>
  <c r="H36" i="9"/>
  <c r="F12" i="8"/>
  <c r="G15" i="5"/>
  <c r="G12" i="8"/>
  <c r="H15" i="5"/>
  <c r="M12" i="8"/>
  <c r="N15" i="5"/>
  <c r="I28" i="3"/>
  <c r="K3" i="8"/>
  <c r="O3" i="8"/>
  <c r="G28" i="3"/>
  <c r="N9" i="8"/>
  <c r="K13" i="5" l="1"/>
  <c r="J11" i="8" s="1"/>
  <c r="E11" i="8"/>
  <c r="N11" i="8" s="1"/>
  <c r="I13" i="5"/>
  <c r="C37" i="9"/>
  <c r="E37" i="9" s="1"/>
  <c r="C29" i="3"/>
  <c r="E15" i="5"/>
  <c r="F14" i="5"/>
  <c r="F13" i="8"/>
  <c r="G16" i="5"/>
  <c r="M13" i="8"/>
  <c r="N16" i="5"/>
  <c r="J28" i="3"/>
  <c r="H10" i="8"/>
  <c r="G13" i="8"/>
  <c r="H16" i="5"/>
  <c r="C3" i="8"/>
  <c r="D6" i="5"/>
  <c r="D5" i="6"/>
  <c r="F5" i="6" s="1"/>
  <c r="D3" i="8" s="1"/>
  <c r="I36" i="9"/>
  <c r="P28" i="3"/>
  <c r="Q28" i="3" s="1"/>
  <c r="O28" i="3"/>
  <c r="N29" i="3" l="1"/>
  <c r="E29" i="3"/>
  <c r="F29" i="3" s="1"/>
  <c r="E16" i="5"/>
  <c r="F15" i="5"/>
  <c r="G37" i="9"/>
  <c r="F37" i="9"/>
  <c r="L37" i="9"/>
  <c r="G17" i="5"/>
  <c r="F14" i="8"/>
  <c r="K28" i="3"/>
  <c r="L28" i="3" s="1"/>
  <c r="H11" i="8"/>
  <c r="G14" i="8"/>
  <c r="H17" i="5"/>
  <c r="J36" i="9"/>
  <c r="M6" i="5"/>
  <c r="J6" i="5"/>
  <c r="M14" i="8"/>
  <c r="N17" i="5"/>
  <c r="E12" i="8"/>
  <c r="N12" i="8" s="1"/>
  <c r="K14" i="5"/>
  <c r="J12" i="8" s="1"/>
  <c r="I14" i="5"/>
  <c r="I29" i="3" l="1"/>
  <c r="S28" i="3"/>
  <c r="I4" i="8"/>
  <c r="H6" i="6"/>
  <c r="L6" i="5"/>
  <c r="O6" i="5"/>
  <c r="E13" i="8"/>
  <c r="N13" i="8" s="1"/>
  <c r="K15" i="5"/>
  <c r="J13" i="8" s="1"/>
  <c r="I15" i="5"/>
  <c r="G29" i="3"/>
  <c r="H12" i="8"/>
  <c r="L4" i="8"/>
  <c r="K36" i="9"/>
  <c r="M15" i="8"/>
  <c r="N18" i="5"/>
  <c r="H18" i="5"/>
  <c r="G15" i="8"/>
  <c r="F16" i="5"/>
  <c r="E17" i="5"/>
  <c r="F15" i="8"/>
  <c r="G18" i="5"/>
  <c r="D38" i="9"/>
  <c r="H37" i="9"/>
  <c r="I37" i="9" s="1"/>
  <c r="O29" i="3"/>
  <c r="J37" i="9" l="1"/>
  <c r="G6" i="6"/>
  <c r="P6" i="5"/>
  <c r="M16" i="8"/>
  <c r="N19" i="5"/>
  <c r="H13" i="8"/>
  <c r="K4" i="8"/>
  <c r="G16" i="8"/>
  <c r="H19" i="5"/>
  <c r="C38" i="9"/>
  <c r="E38" i="9" s="1"/>
  <c r="C30" i="3"/>
  <c r="F17" i="5"/>
  <c r="E18" i="5"/>
  <c r="F16" i="8"/>
  <c r="G19" i="5"/>
  <c r="O4" i="8"/>
  <c r="P29" i="3"/>
  <c r="Q29" i="3" s="1"/>
  <c r="E14" i="8"/>
  <c r="N14" i="8" s="1"/>
  <c r="I16" i="5"/>
  <c r="K16" i="5"/>
  <c r="J14" i="8" s="1"/>
  <c r="J29" i="3"/>
  <c r="K29" i="3"/>
  <c r="L29" i="3"/>
  <c r="N30" i="3" l="1"/>
  <c r="E19" i="5"/>
  <c r="F18" i="5"/>
  <c r="K17" i="5"/>
  <c r="J15" i="8" s="1"/>
  <c r="E15" i="8"/>
  <c r="N15" i="8" s="1"/>
  <c r="I17" i="5"/>
  <c r="C4" i="8"/>
  <c r="D7" i="5"/>
  <c r="D6" i="6"/>
  <c r="F6" i="6" s="1"/>
  <c r="D4" i="8" s="1"/>
  <c r="I30" i="3"/>
  <c r="F17" i="8"/>
  <c r="G20" i="5"/>
  <c r="E30" i="3"/>
  <c r="D39" i="9" s="1"/>
  <c r="H14" i="8"/>
  <c r="G38" i="9"/>
  <c r="F38" i="9"/>
  <c r="L38" i="9"/>
  <c r="S29" i="3"/>
  <c r="G17" i="8"/>
  <c r="H20" i="5"/>
  <c r="M17" i="8"/>
  <c r="N20" i="5"/>
  <c r="K37" i="9"/>
  <c r="G21" i="5" l="1"/>
  <c r="F18" i="8"/>
  <c r="H38" i="9"/>
  <c r="H15" i="8"/>
  <c r="I38" i="9"/>
  <c r="M18" i="8"/>
  <c r="N21" i="5"/>
  <c r="J30" i="3"/>
  <c r="K30" i="3" s="1"/>
  <c r="E16" i="8"/>
  <c r="N16" i="8" s="1"/>
  <c r="K18" i="5"/>
  <c r="J16" i="8" s="1"/>
  <c r="I18" i="5"/>
  <c r="G18" i="8"/>
  <c r="H21" i="5"/>
  <c r="M7" i="5"/>
  <c r="J7" i="5"/>
  <c r="E20" i="5"/>
  <c r="F19" i="5"/>
  <c r="F30" i="3"/>
  <c r="G30" i="3"/>
  <c r="O30" i="3"/>
  <c r="P30" i="3" s="1"/>
  <c r="J38" i="9" l="1"/>
  <c r="Q30" i="3"/>
  <c r="N31" i="3" s="1"/>
  <c r="L30" i="3"/>
  <c r="I31" i="3" s="1"/>
  <c r="E17" i="8"/>
  <c r="N17" i="8" s="1"/>
  <c r="I19" i="5"/>
  <c r="K19" i="5"/>
  <c r="J17" i="8" s="1"/>
  <c r="H7" i="6"/>
  <c r="I5" i="8"/>
  <c r="L7" i="5"/>
  <c r="O7" i="5"/>
  <c r="L5" i="8"/>
  <c r="C39" i="9"/>
  <c r="E39" i="9" s="1"/>
  <c r="C31" i="3"/>
  <c r="G19" i="8"/>
  <c r="H22" i="5"/>
  <c r="M19" i="8"/>
  <c r="N22" i="5"/>
  <c r="F20" i="5"/>
  <c r="E21" i="5"/>
  <c r="H16" i="8"/>
  <c r="F19" i="8"/>
  <c r="G22" i="5"/>
  <c r="I20" i="5" l="1"/>
  <c r="E18" i="8"/>
  <c r="N18" i="8" s="1"/>
  <c r="K20" i="5"/>
  <c r="J18" i="8" s="1"/>
  <c r="F21" i="5"/>
  <c r="E22" i="5"/>
  <c r="J31" i="3"/>
  <c r="K31" i="3" s="1"/>
  <c r="G20" i="8"/>
  <c r="H23" i="5"/>
  <c r="F31" i="3"/>
  <c r="E31" i="3"/>
  <c r="D40" i="9" s="1"/>
  <c r="G31" i="3"/>
  <c r="M20" i="8"/>
  <c r="N23" i="5"/>
  <c r="G7" i="6"/>
  <c r="P7" i="5"/>
  <c r="K5" i="8"/>
  <c r="K38" i="9"/>
  <c r="G39" i="9"/>
  <c r="F39" i="9"/>
  <c r="L39" i="9"/>
  <c r="H17" i="8"/>
  <c r="F20" i="8"/>
  <c r="G23" i="5"/>
  <c r="O31" i="3"/>
  <c r="S30" i="3"/>
  <c r="O5" i="8"/>
  <c r="L31" i="3" l="1"/>
  <c r="I32" i="3" s="1"/>
  <c r="H39" i="9"/>
  <c r="P31" i="3"/>
  <c r="Q31" i="3" s="1"/>
  <c r="C40" i="9"/>
  <c r="E40" i="9" s="1"/>
  <c r="C32" i="3"/>
  <c r="E23" i="5"/>
  <c r="F22" i="5"/>
  <c r="I39" i="9"/>
  <c r="K21" i="5"/>
  <c r="J19" i="8" s="1"/>
  <c r="E19" i="8"/>
  <c r="N19" i="8" s="1"/>
  <c r="I21" i="5"/>
  <c r="F21" i="8"/>
  <c r="G24" i="5"/>
  <c r="C5" i="8"/>
  <c r="D7" i="6"/>
  <c r="F7" i="6" s="1"/>
  <c r="D5" i="8" s="1"/>
  <c r="D8" i="5"/>
  <c r="G21" i="8"/>
  <c r="H24" i="5"/>
  <c r="M21" i="8"/>
  <c r="N24" i="5"/>
  <c r="H18" i="8"/>
  <c r="N32" i="3" l="1"/>
  <c r="S31" i="3"/>
  <c r="F40" i="9"/>
  <c r="H40" i="9" s="1"/>
  <c r="G40" i="9"/>
  <c r="I40" i="9" s="1"/>
  <c r="J40" i="9" s="1"/>
  <c r="K40" i="9" s="1"/>
  <c r="L40" i="9"/>
  <c r="M8" i="5"/>
  <c r="J8" i="5"/>
  <c r="E32" i="3"/>
  <c r="D41" i="9" s="1"/>
  <c r="F22" i="8"/>
  <c r="G25" i="5"/>
  <c r="E20" i="8"/>
  <c r="N20" i="8" s="1"/>
  <c r="K22" i="5"/>
  <c r="J20" i="8" s="1"/>
  <c r="I22" i="5"/>
  <c r="J32" i="3"/>
  <c r="L32" i="3" s="1"/>
  <c r="I33" i="3" s="1"/>
  <c r="K32" i="3"/>
  <c r="H19" i="8"/>
  <c r="G22" i="8"/>
  <c r="H25" i="5"/>
  <c r="J39" i="9"/>
  <c r="M22" i="8"/>
  <c r="N25" i="5"/>
  <c r="E24" i="5"/>
  <c r="F23" i="5"/>
  <c r="J33" i="3" l="1"/>
  <c r="K33" i="3" s="1"/>
  <c r="G23" i="8"/>
  <c r="H26" i="5"/>
  <c r="I6" i="8"/>
  <c r="H8" i="6"/>
  <c r="L8" i="5"/>
  <c r="L6" i="8"/>
  <c r="G26" i="5"/>
  <c r="F23" i="8"/>
  <c r="K39" i="9"/>
  <c r="M23" i="8"/>
  <c r="N26" i="5"/>
  <c r="H20" i="8"/>
  <c r="E21" i="8"/>
  <c r="N21" i="8" s="1"/>
  <c r="I23" i="5"/>
  <c r="K23" i="5"/>
  <c r="J21" i="8" s="1"/>
  <c r="F24" i="5"/>
  <c r="E25" i="5"/>
  <c r="F32" i="3"/>
  <c r="G32" i="3"/>
  <c r="P32" i="3"/>
  <c r="O32" i="3"/>
  <c r="Q32" i="3" s="1"/>
  <c r="N33" i="3" s="1"/>
  <c r="O33" i="3" l="1"/>
  <c r="P33" i="3"/>
  <c r="Q33" i="3" s="1"/>
  <c r="N34" i="3" s="1"/>
  <c r="K6" i="8"/>
  <c r="O6" i="8"/>
  <c r="H21" i="8"/>
  <c r="F24" i="8"/>
  <c r="G27" i="5"/>
  <c r="G24" i="8"/>
  <c r="H27" i="5"/>
  <c r="C41" i="9"/>
  <c r="E41" i="9" s="1"/>
  <c r="C33" i="3"/>
  <c r="S32" i="3"/>
  <c r="F25" i="5"/>
  <c r="E26" i="5"/>
  <c r="M24" i="8"/>
  <c r="N27" i="5"/>
  <c r="L33" i="3"/>
  <c r="I34" i="3" s="1"/>
  <c r="E22" i="8"/>
  <c r="N22" i="8" s="1"/>
  <c r="K24" i="5"/>
  <c r="J22" i="8" s="1"/>
  <c r="I24" i="5"/>
  <c r="O8" i="5"/>
  <c r="O34" i="3" l="1"/>
  <c r="P34" i="3" s="1"/>
  <c r="Q34" i="3" s="1"/>
  <c r="N35" i="3" s="1"/>
  <c r="E33" i="3"/>
  <c r="D42" i="9" s="1"/>
  <c r="F33" i="3"/>
  <c r="K34" i="3"/>
  <c r="L34" i="3" s="1"/>
  <c r="I35" i="3" s="1"/>
  <c r="J34" i="3"/>
  <c r="M25" i="8"/>
  <c r="N28" i="5"/>
  <c r="H22" i="8"/>
  <c r="G41" i="9"/>
  <c r="I41" i="9" s="1"/>
  <c r="J41" i="9" s="1"/>
  <c r="K41" i="9" s="1"/>
  <c r="F41" i="9"/>
  <c r="H41" i="9" s="1"/>
  <c r="L41" i="9"/>
  <c r="G25" i="8"/>
  <c r="H28" i="5"/>
  <c r="F25" i="8"/>
  <c r="G28" i="5"/>
  <c r="E27" i="5"/>
  <c r="F26" i="5"/>
  <c r="G8" i="6"/>
  <c r="P8" i="5"/>
  <c r="E23" i="8"/>
  <c r="N23" i="8" s="1"/>
  <c r="K25" i="5"/>
  <c r="J23" i="8" s="1"/>
  <c r="I25" i="5"/>
  <c r="J35" i="3" l="1"/>
  <c r="O35" i="3"/>
  <c r="E24" i="8"/>
  <c r="N24" i="8" s="1"/>
  <c r="K26" i="5"/>
  <c r="J24" i="8" s="1"/>
  <c r="I26" i="5"/>
  <c r="F27" i="5"/>
  <c r="E28" i="5"/>
  <c r="G33" i="3"/>
  <c r="H23" i="8"/>
  <c r="M26" i="8"/>
  <c r="N29" i="5"/>
  <c r="G26" i="8"/>
  <c r="H29" i="5"/>
  <c r="F26" i="8"/>
  <c r="G29" i="5"/>
  <c r="C6" i="8"/>
  <c r="D8" i="6"/>
  <c r="F8" i="6" s="1"/>
  <c r="D6" i="8" s="1"/>
  <c r="D9" i="5"/>
  <c r="F27" i="8" l="1"/>
  <c r="G30" i="5"/>
  <c r="P35" i="3"/>
  <c r="Q35" i="3" s="1"/>
  <c r="N36" i="3" s="1"/>
  <c r="G27" i="8"/>
  <c r="H30" i="5"/>
  <c r="K35" i="3"/>
  <c r="L35" i="3" s="1"/>
  <c r="I36" i="3" s="1"/>
  <c r="J9" i="5"/>
  <c r="M9" i="5"/>
  <c r="L7" i="8" s="1"/>
  <c r="C42" i="9"/>
  <c r="E42" i="9" s="1"/>
  <c r="C34" i="3"/>
  <c r="S33" i="3"/>
  <c r="F28" i="5"/>
  <c r="E29" i="5"/>
  <c r="E25" i="8"/>
  <c r="N25" i="8" s="1"/>
  <c r="I27" i="5"/>
  <c r="K27" i="5"/>
  <c r="J25" i="8" s="1"/>
  <c r="M27" i="8"/>
  <c r="N30" i="5"/>
  <c r="H24" i="8"/>
  <c r="O36" i="3" l="1"/>
  <c r="J36" i="3"/>
  <c r="L36" i="3"/>
  <c r="I37" i="3" s="1"/>
  <c r="K36" i="3"/>
  <c r="M28" i="8"/>
  <c r="N31" i="5"/>
  <c r="E30" i="5"/>
  <c r="F29" i="5"/>
  <c r="G42" i="9"/>
  <c r="F42" i="9"/>
  <c r="H42" i="9" s="1"/>
  <c r="L42" i="9"/>
  <c r="E26" i="8"/>
  <c r="N26" i="8" s="1"/>
  <c r="K28" i="5"/>
  <c r="J26" i="8" s="1"/>
  <c r="I28" i="5"/>
  <c r="F28" i="8"/>
  <c r="G31" i="5"/>
  <c r="H25" i="8"/>
  <c r="G28" i="8"/>
  <c r="H31" i="5"/>
  <c r="F34" i="3"/>
  <c r="G34" i="3" s="1"/>
  <c r="E34" i="3"/>
  <c r="D43" i="9" s="1"/>
  <c r="I7" i="8"/>
  <c r="O7" i="8" s="1"/>
  <c r="H9" i="6"/>
  <c r="L9" i="5"/>
  <c r="K7" i="8" s="1"/>
  <c r="O9" i="5"/>
  <c r="C43" i="9" l="1"/>
  <c r="E43" i="9" s="1"/>
  <c r="C35" i="3"/>
  <c r="S34" i="3"/>
  <c r="Q36" i="3"/>
  <c r="N37" i="3" s="1"/>
  <c r="M29" i="8"/>
  <c r="N32" i="5"/>
  <c r="J37" i="3"/>
  <c r="K37" i="3" s="1"/>
  <c r="L37" i="3" s="1"/>
  <c r="I38" i="3" s="1"/>
  <c r="H26" i="8"/>
  <c r="G9" i="6"/>
  <c r="P9" i="5"/>
  <c r="E27" i="8"/>
  <c r="N27" i="8" s="1"/>
  <c r="K29" i="5"/>
  <c r="J27" i="8" s="1"/>
  <c r="I29" i="5"/>
  <c r="P36" i="3"/>
  <c r="G29" i="8"/>
  <c r="H32" i="5"/>
  <c r="I42" i="9"/>
  <c r="J42" i="9" s="1"/>
  <c r="K42" i="9" s="1"/>
  <c r="F29" i="8"/>
  <c r="G32" i="5"/>
  <c r="E31" i="5"/>
  <c r="F30" i="5"/>
  <c r="J38" i="3" l="1"/>
  <c r="K38" i="3" s="1"/>
  <c r="L38" i="3" s="1"/>
  <c r="I39" i="3" s="1"/>
  <c r="M30" i="8"/>
  <c r="N33" i="5"/>
  <c r="H27" i="8"/>
  <c r="F31" i="5"/>
  <c r="E32" i="5"/>
  <c r="F30" i="8"/>
  <c r="G33" i="5"/>
  <c r="C7" i="8"/>
  <c r="D9" i="6"/>
  <c r="F9" i="6" s="1"/>
  <c r="D7" i="8" s="1"/>
  <c r="D10" i="5"/>
  <c r="O37" i="3"/>
  <c r="G30" i="8"/>
  <c r="H33" i="5"/>
  <c r="E35" i="3"/>
  <c r="D44" i="9" s="1"/>
  <c r="E28" i="8"/>
  <c r="N28" i="8" s="1"/>
  <c r="K30" i="5"/>
  <c r="J28" i="8" s="1"/>
  <c r="I30" i="5"/>
  <c r="G43" i="9"/>
  <c r="F43" i="9"/>
  <c r="H43" i="9" s="1"/>
  <c r="L43" i="9"/>
  <c r="J39" i="3" l="1"/>
  <c r="J10" i="5"/>
  <c r="M10" i="5"/>
  <c r="L8" i="8" s="1"/>
  <c r="F35" i="3"/>
  <c r="G35" i="3" s="1"/>
  <c r="M31" i="8"/>
  <c r="N34" i="5"/>
  <c r="B27" i="7" s="1"/>
  <c r="F31" i="8"/>
  <c r="G34" i="5"/>
  <c r="B20" i="7" s="1"/>
  <c r="E29" i="8"/>
  <c r="N29" i="8" s="1"/>
  <c r="K31" i="5"/>
  <c r="J29" i="8" s="1"/>
  <c r="I31" i="5"/>
  <c r="P37" i="3"/>
  <c r="Q37" i="3" s="1"/>
  <c r="N38" i="3" s="1"/>
  <c r="G31" i="8"/>
  <c r="H34" i="5"/>
  <c r="B21" i="7" s="1"/>
  <c r="I43" i="9"/>
  <c r="J43" i="9" s="1"/>
  <c r="K43" i="9" s="1"/>
  <c r="H28" i="8"/>
  <c r="F32" i="5"/>
  <c r="E33" i="5"/>
  <c r="F33" i="5" s="1"/>
  <c r="O38" i="3" l="1"/>
  <c r="C44" i="9"/>
  <c r="E44" i="9" s="1"/>
  <c r="C36" i="3"/>
  <c r="S35" i="3"/>
  <c r="L39" i="3"/>
  <c r="I40" i="3" s="1"/>
  <c r="K32" i="5"/>
  <c r="J30" i="8" s="1"/>
  <c r="I32" i="5"/>
  <c r="E30" i="8"/>
  <c r="N30" i="8" s="1"/>
  <c r="I8" i="8"/>
  <c r="O8" i="8" s="1"/>
  <c r="H10" i="6"/>
  <c r="L10" i="5"/>
  <c r="K8" i="8" s="1"/>
  <c r="O10" i="5"/>
  <c r="H29" i="8"/>
  <c r="K39" i="3"/>
  <c r="E31" i="8"/>
  <c r="N31" i="8" s="1"/>
  <c r="K33" i="5"/>
  <c r="I33" i="5"/>
  <c r="F34" i="5"/>
  <c r="B19" i="7" s="1"/>
  <c r="G10" i="6" l="1"/>
  <c r="P10" i="5"/>
  <c r="J40" i="3"/>
  <c r="H31" i="8"/>
  <c r="I34" i="5"/>
  <c r="J31" i="8"/>
  <c r="K34" i="5"/>
  <c r="E36" i="3"/>
  <c r="D45" i="9" s="1"/>
  <c r="F36" i="3"/>
  <c r="F44" i="9"/>
  <c r="H44" i="9" s="1"/>
  <c r="G44" i="9"/>
  <c r="L44" i="9"/>
  <c r="P38" i="3"/>
  <c r="Q38" i="3" s="1"/>
  <c r="N39" i="3" s="1"/>
  <c r="H30" i="8"/>
  <c r="O39" i="3" l="1"/>
  <c r="I44" i="9"/>
  <c r="J44" i="9" s="1"/>
  <c r="K44" i="9" s="1"/>
  <c r="K40" i="3"/>
  <c r="L40" i="3" s="1"/>
  <c r="I41" i="3" s="1"/>
  <c r="B24" i="7"/>
  <c r="G36" i="3"/>
  <c r="C8" i="8"/>
  <c r="D10" i="6"/>
  <c r="F10" i="6" s="1"/>
  <c r="D8" i="8" s="1"/>
  <c r="D11" i="5"/>
  <c r="B22" i="7"/>
  <c r="I5" i="1"/>
  <c r="J41" i="3" l="1"/>
  <c r="M11" i="5"/>
  <c r="L9" i="8" s="1"/>
  <c r="J11" i="5"/>
  <c r="P39" i="3"/>
  <c r="Q39" i="3" s="1"/>
  <c r="N40" i="3" s="1"/>
  <c r="C45" i="9"/>
  <c r="E45" i="9" s="1"/>
  <c r="C37" i="3"/>
  <c r="S36" i="3"/>
  <c r="P40" i="3" l="1"/>
  <c r="O40" i="3"/>
  <c r="Q40" i="3"/>
  <c r="N41" i="3" s="1"/>
  <c r="H11" i="6"/>
  <c r="I9" i="8"/>
  <c r="O9" i="8" s="1"/>
  <c r="L11" i="5"/>
  <c r="K9" i="8" s="1"/>
  <c r="O11" i="5"/>
  <c r="E37" i="3"/>
  <c r="D46" i="9" s="1"/>
  <c r="K41" i="3"/>
  <c r="L41" i="3" s="1"/>
  <c r="I42" i="3" s="1"/>
  <c r="G45" i="9"/>
  <c r="F45" i="9"/>
  <c r="H45" i="9" s="1"/>
  <c r="L45" i="9"/>
  <c r="J42" i="3" l="1"/>
  <c r="L42" i="3" s="1"/>
  <c r="I43" i="3" s="1"/>
  <c r="K42" i="3"/>
  <c r="G11" i="6"/>
  <c r="P11" i="5"/>
  <c r="I45" i="9"/>
  <c r="J45" i="9" s="1"/>
  <c r="K45" i="9" s="1"/>
  <c r="O41" i="3"/>
  <c r="F37" i="3"/>
  <c r="G37" i="3"/>
  <c r="J43" i="3" l="1"/>
  <c r="C9" i="8"/>
  <c r="D11" i="6"/>
  <c r="F11" i="6" s="1"/>
  <c r="D9" i="8" s="1"/>
  <c r="D12" i="5"/>
  <c r="C46" i="9"/>
  <c r="E46" i="9" s="1"/>
  <c r="C38" i="3"/>
  <c r="S37" i="3"/>
  <c r="P41" i="3"/>
  <c r="Q41" i="3" s="1"/>
  <c r="N42" i="3" s="1"/>
  <c r="O42" i="3" l="1"/>
  <c r="P42" i="3" s="1"/>
  <c r="Q42" i="3" s="1"/>
  <c r="N43" i="3" s="1"/>
  <c r="G46" i="9"/>
  <c r="F46" i="9"/>
  <c r="H46" i="9" s="1"/>
  <c r="L46" i="9"/>
  <c r="K43" i="3"/>
  <c r="L43" i="3" s="1"/>
  <c r="I44" i="3" s="1"/>
  <c r="J12" i="5"/>
  <c r="M12" i="5"/>
  <c r="L10" i="8" s="1"/>
  <c r="E38" i="3"/>
  <c r="D47" i="9" s="1"/>
  <c r="J44" i="3" l="1"/>
  <c r="K44" i="3" s="1"/>
  <c r="L44" i="3" s="1"/>
  <c r="I45" i="3" s="1"/>
  <c r="O43" i="3"/>
  <c r="P43" i="3" s="1"/>
  <c r="Q43" i="3" s="1"/>
  <c r="N44" i="3" s="1"/>
  <c r="F38" i="3"/>
  <c r="G38" i="3"/>
  <c r="I46" i="9"/>
  <c r="J46" i="9" s="1"/>
  <c r="K46" i="9" s="1"/>
  <c r="I10" i="8"/>
  <c r="O10" i="8" s="1"/>
  <c r="H12" i="6"/>
  <c r="L12" i="5"/>
  <c r="K10" i="8" s="1"/>
  <c r="O12" i="5"/>
  <c r="O44" i="3" l="1"/>
  <c r="J45" i="3"/>
  <c r="K45" i="3"/>
  <c r="L45" i="3" s="1"/>
  <c r="I46" i="3" s="1"/>
  <c r="C47" i="9"/>
  <c r="E47" i="9" s="1"/>
  <c r="C39" i="3"/>
  <c r="S38" i="3"/>
  <c r="G12" i="6"/>
  <c r="P12" i="5"/>
  <c r="J46" i="3" l="1"/>
  <c r="K46" i="3" s="1"/>
  <c r="L46" i="3" s="1"/>
  <c r="I47" i="3" s="1"/>
  <c r="G47" i="9"/>
  <c r="F47" i="9"/>
  <c r="H47" i="9" s="1"/>
  <c r="L47" i="9"/>
  <c r="P44" i="3"/>
  <c r="Q44" i="3" s="1"/>
  <c r="N45" i="3" s="1"/>
  <c r="E39" i="3"/>
  <c r="D48" i="9" s="1"/>
  <c r="C10" i="8"/>
  <c r="D12" i="6"/>
  <c r="F12" i="6" s="1"/>
  <c r="D10" i="8" s="1"/>
  <c r="D13" i="5"/>
  <c r="O45" i="3" l="1"/>
  <c r="J47" i="3"/>
  <c r="K47" i="3" s="1"/>
  <c r="I47" i="9"/>
  <c r="J47" i="9" s="1"/>
  <c r="K47" i="9" s="1"/>
  <c r="J13" i="5"/>
  <c r="M13" i="5"/>
  <c r="L11" i="8" s="1"/>
  <c r="F39" i="3"/>
  <c r="G39" i="3" s="1"/>
  <c r="C48" i="9" l="1"/>
  <c r="E48" i="9" s="1"/>
  <c r="C40" i="3"/>
  <c r="S39" i="3"/>
  <c r="Q45" i="3"/>
  <c r="N46" i="3" s="1"/>
  <c r="I11" i="8"/>
  <c r="O11" i="8" s="1"/>
  <c r="H13" i="6"/>
  <c r="L13" i="5"/>
  <c r="K11" i="8" s="1"/>
  <c r="L47" i="3"/>
  <c r="I48" i="3" s="1"/>
  <c r="P45" i="3"/>
  <c r="F40" i="3" l="1"/>
  <c r="E40" i="3"/>
  <c r="D49" i="9" s="1"/>
  <c r="O13" i="5"/>
  <c r="O46" i="3"/>
  <c r="J48" i="3"/>
  <c r="K48" i="3" s="1"/>
  <c r="L48" i="3" s="1"/>
  <c r="I49" i="3" s="1"/>
  <c r="F48" i="9"/>
  <c r="H48" i="9" s="1"/>
  <c r="G48" i="9"/>
  <c r="I48" i="9" s="1"/>
  <c r="J48" i="9" s="1"/>
  <c r="K48" i="9" s="1"/>
  <c r="L48" i="9"/>
  <c r="K49" i="3" l="1"/>
  <c r="J49" i="3"/>
  <c r="L49" i="3" s="1"/>
  <c r="I50" i="3" s="1"/>
  <c r="P46" i="3"/>
  <c r="Q46" i="3" s="1"/>
  <c r="N47" i="3" s="1"/>
  <c r="G13" i="6"/>
  <c r="P13" i="5"/>
  <c r="G40" i="3"/>
  <c r="O47" i="3" l="1"/>
  <c r="P47" i="3" s="1"/>
  <c r="Q47" i="3" s="1"/>
  <c r="N48" i="3" s="1"/>
  <c r="J50" i="3"/>
  <c r="L50" i="3" s="1"/>
  <c r="I51" i="3" s="1"/>
  <c r="K50" i="3"/>
  <c r="C11" i="8"/>
  <c r="D14" i="5"/>
  <c r="D13" i="6"/>
  <c r="F13" i="6" s="1"/>
  <c r="D11" i="8" s="1"/>
  <c r="C49" i="9"/>
  <c r="E49" i="9" s="1"/>
  <c r="C41" i="3"/>
  <c r="S40" i="3"/>
  <c r="O48" i="3" l="1"/>
  <c r="J51" i="3"/>
  <c r="K51" i="3" s="1"/>
  <c r="L51" i="3" s="1"/>
  <c r="I52" i="3" s="1"/>
  <c r="M14" i="5"/>
  <c r="L12" i="8" s="1"/>
  <c r="J14" i="5"/>
  <c r="E41" i="3"/>
  <c r="D50" i="9" s="1"/>
  <c r="F41" i="3"/>
  <c r="G41" i="3" s="1"/>
  <c r="G49" i="9"/>
  <c r="F49" i="9"/>
  <c r="H49" i="9" s="1"/>
  <c r="L49" i="9"/>
  <c r="J52" i="3" l="1"/>
  <c r="C50" i="9"/>
  <c r="E50" i="9" s="1"/>
  <c r="C42" i="3"/>
  <c r="S41" i="3"/>
  <c r="Q48" i="3"/>
  <c r="N49" i="3" s="1"/>
  <c r="I49" i="9"/>
  <c r="J49" i="9" s="1"/>
  <c r="K49" i="9" s="1"/>
  <c r="P48" i="3"/>
  <c r="I12" i="8"/>
  <c r="O12" i="8" s="1"/>
  <c r="H14" i="6"/>
  <c r="L14" i="5"/>
  <c r="K12" i="8" s="1"/>
  <c r="O14" i="5"/>
  <c r="O49" i="3" l="1"/>
  <c r="Q49" i="3" s="1"/>
  <c r="N50" i="3" s="1"/>
  <c r="P49" i="3"/>
  <c r="G14" i="6"/>
  <c r="P14" i="5"/>
  <c r="E42" i="3"/>
  <c r="D51" i="9" s="1"/>
  <c r="K52" i="3"/>
  <c r="L52" i="3" s="1"/>
  <c r="I53" i="3" s="1"/>
  <c r="G50" i="9"/>
  <c r="F50" i="9"/>
  <c r="H50" i="9" s="1"/>
  <c r="L50" i="9"/>
  <c r="J53" i="3" l="1"/>
  <c r="L53" i="3" s="1"/>
  <c r="I54" i="3" s="1"/>
  <c r="K53" i="3"/>
  <c r="O50" i="3"/>
  <c r="P50" i="3" s="1"/>
  <c r="Q50" i="3" s="1"/>
  <c r="N51" i="3" s="1"/>
  <c r="I50" i="9"/>
  <c r="J50" i="9" s="1"/>
  <c r="K50" i="9" s="1"/>
  <c r="F42" i="3"/>
  <c r="C12" i="8"/>
  <c r="D15" i="5"/>
  <c r="D14" i="6"/>
  <c r="F14" i="6" s="1"/>
  <c r="D12" i="8" s="1"/>
  <c r="G42" i="3"/>
  <c r="O51" i="3" l="1"/>
  <c r="J54" i="3"/>
  <c r="K54" i="3" s="1"/>
  <c r="M15" i="5"/>
  <c r="L13" i="8" s="1"/>
  <c r="J15" i="5"/>
  <c r="C51" i="9"/>
  <c r="E51" i="9" s="1"/>
  <c r="C43" i="3"/>
  <c r="S42" i="3"/>
  <c r="L54" i="3" l="1"/>
  <c r="I55" i="3" s="1"/>
  <c r="E43" i="3"/>
  <c r="D52" i="9" s="1"/>
  <c r="F51" i="9"/>
  <c r="H51" i="9" s="1"/>
  <c r="G51" i="9"/>
  <c r="I51" i="9" s="1"/>
  <c r="J51" i="9" s="1"/>
  <c r="K51" i="9" s="1"/>
  <c r="L51" i="9"/>
  <c r="P51" i="3"/>
  <c r="Q51" i="3" s="1"/>
  <c r="N52" i="3" s="1"/>
  <c r="H15" i="6"/>
  <c r="I13" i="8"/>
  <c r="O13" i="8" s="1"/>
  <c r="L15" i="5"/>
  <c r="K13" i="8" s="1"/>
  <c r="O15" i="5"/>
  <c r="O52" i="3" l="1"/>
  <c r="P52" i="3" s="1"/>
  <c r="Q52" i="3" s="1"/>
  <c r="N53" i="3" s="1"/>
  <c r="F43" i="3"/>
  <c r="G15" i="6"/>
  <c r="P15" i="5"/>
  <c r="G43" i="3"/>
  <c r="J55" i="3"/>
  <c r="K55" i="3" s="1"/>
  <c r="L55" i="3" s="1"/>
  <c r="I56" i="3" s="1"/>
  <c r="O53" i="3" l="1"/>
  <c r="K56" i="3"/>
  <c r="J56" i="3"/>
  <c r="L56" i="3" s="1"/>
  <c r="I57" i="3" s="1"/>
  <c r="D15" i="6"/>
  <c r="F15" i="6" s="1"/>
  <c r="D13" i="8" s="1"/>
  <c r="C13" i="8"/>
  <c r="D16" i="5"/>
  <c r="C52" i="9"/>
  <c r="E52" i="9" s="1"/>
  <c r="C44" i="3"/>
  <c r="S43" i="3"/>
  <c r="J57" i="3" l="1"/>
  <c r="K57" i="3" s="1"/>
  <c r="L57" i="3" s="1"/>
  <c r="I58" i="3" s="1"/>
  <c r="F52" i="9"/>
  <c r="H52" i="9" s="1"/>
  <c r="G52" i="9"/>
  <c r="I52" i="9" s="1"/>
  <c r="J52" i="9" s="1"/>
  <c r="K52" i="9" s="1"/>
  <c r="L52" i="9"/>
  <c r="P53" i="3"/>
  <c r="Q53" i="3" s="1"/>
  <c r="N54" i="3" s="1"/>
  <c r="G44" i="3"/>
  <c r="F44" i="3"/>
  <c r="E44" i="3"/>
  <c r="D53" i="9" s="1"/>
  <c r="M16" i="5"/>
  <c r="L14" i="8" s="1"/>
  <c r="J16" i="5"/>
  <c r="O54" i="3" l="1"/>
  <c r="Q54" i="3" s="1"/>
  <c r="N55" i="3" s="1"/>
  <c r="P54" i="3"/>
  <c r="J58" i="3"/>
  <c r="K58" i="3"/>
  <c r="L58" i="3" s="1"/>
  <c r="I59" i="3" s="1"/>
  <c r="I14" i="8"/>
  <c r="O14" i="8" s="1"/>
  <c r="H16" i="6"/>
  <c r="L16" i="5"/>
  <c r="K14" i="8" s="1"/>
  <c r="C53" i="9"/>
  <c r="E53" i="9" s="1"/>
  <c r="C45" i="3"/>
  <c r="S44" i="3"/>
  <c r="J59" i="3" l="1"/>
  <c r="K59" i="3" s="1"/>
  <c r="L59" i="3" s="1"/>
  <c r="I60" i="3" s="1"/>
  <c r="O55" i="3"/>
  <c r="P55" i="3" s="1"/>
  <c r="Q55" i="3" s="1"/>
  <c r="N56" i="3" s="1"/>
  <c r="F45" i="3"/>
  <c r="G45" i="3" s="1"/>
  <c r="E45" i="3"/>
  <c r="D54" i="9" s="1"/>
  <c r="O16" i="5"/>
  <c r="G53" i="9"/>
  <c r="F53" i="9"/>
  <c r="H53" i="9" s="1"/>
  <c r="L53" i="9"/>
  <c r="C54" i="9" l="1"/>
  <c r="E54" i="9" s="1"/>
  <c r="C46" i="3"/>
  <c r="S45" i="3"/>
  <c r="O56" i="3"/>
  <c r="J60" i="3"/>
  <c r="I61" i="3"/>
  <c r="I53" i="9"/>
  <c r="J53" i="9" s="1"/>
  <c r="K53" i="9" s="1"/>
  <c r="G16" i="6"/>
  <c r="P16" i="5"/>
  <c r="K60" i="3" l="1"/>
  <c r="K61" i="3" s="1"/>
  <c r="D16" i="6"/>
  <c r="F16" i="6" s="1"/>
  <c r="D14" i="8" s="1"/>
  <c r="C14" i="8"/>
  <c r="D17" i="5"/>
  <c r="P56" i="3"/>
  <c r="Q56" i="3" s="1"/>
  <c r="N57" i="3" s="1"/>
  <c r="G46" i="3"/>
  <c r="E46" i="3"/>
  <c r="D55" i="9" s="1"/>
  <c r="F46" i="3"/>
  <c r="J61" i="3"/>
  <c r="P8" i="3"/>
  <c r="G54" i="9"/>
  <c r="F54" i="9"/>
  <c r="H54" i="9" s="1"/>
  <c r="L54" i="9"/>
  <c r="O57" i="3" l="1"/>
  <c r="P57" i="3"/>
  <c r="Q57" i="3" s="1"/>
  <c r="N58" i="3" s="1"/>
  <c r="C55" i="9"/>
  <c r="E55" i="9" s="1"/>
  <c r="C47" i="3"/>
  <c r="S46" i="3"/>
  <c r="J17" i="5"/>
  <c r="M17" i="5"/>
  <c r="L15" i="8" s="1"/>
  <c r="I54" i="9"/>
  <c r="J54" i="9" s="1"/>
  <c r="K54" i="9" s="1"/>
  <c r="L60" i="3"/>
  <c r="P7" i="3" s="1"/>
  <c r="O58" i="3" l="1"/>
  <c r="P58" i="3" s="1"/>
  <c r="Q58" i="3" s="1"/>
  <c r="N59" i="3" s="1"/>
  <c r="I15" i="8"/>
  <c r="O15" i="8" s="1"/>
  <c r="H17" i="6"/>
  <c r="L17" i="5"/>
  <c r="K15" i="8" s="1"/>
  <c r="G55" i="9"/>
  <c r="I55" i="9" s="1"/>
  <c r="J55" i="9" s="1"/>
  <c r="K55" i="9" s="1"/>
  <c r="F55" i="9"/>
  <c r="H55" i="9" s="1"/>
  <c r="L55" i="9"/>
  <c r="E47" i="3"/>
  <c r="D56" i="9" s="1"/>
  <c r="O59" i="3" l="1"/>
  <c r="O17" i="5"/>
  <c r="F47" i="3"/>
  <c r="G47" i="3"/>
  <c r="C56" i="9" l="1"/>
  <c r="E56" i="9" s="1"/>
  <c r="C48" i="3"/>
  <c r="S47" i="3"/>
  <c r="P59" i="3"/>
  <c r="Q59" i="3" s="1"/>
  <c r="N60" i="3" s="1"/>
  <c r="G17" i="6"/>
  <c r="P17" i="5"/>
  <c r="O60" i="3" l="1"/>
  <c r="P60" i="3" s="1"/>
  <c r="P61" i="3" s="1"/>
  <c r="N61" i="3"/>
  <c r="C15" i="8"/>
  <c r="D18" i="5"/>
  <c r="D17" i="6"/>
  <c r="F17" i="6" s="1"/>
  <c r="D15" i="8" s="1"/>
  <c r="E48" i="3"/>
  <c r="D57" i="9" s="1"/>
  <c r="F56" i="9"/>
  <c r="H56" i="9" s="1"/>
  <c r="G56" i="9"/>
  <c r="I56" i="9" s="1"/>
  <c r="J56" i="9" s="1"/>
  <c r="K56" i="9" s="1"/>
  <c r="L56" i="9"/>
  <c r="J18" i="5" l="1"/>
  <c r="M18" i="5"/>
  <c r="L16" i="8" s="1"/>
  <c r="O61" i="3"/>
  <c r="P10" i="3"/>
  <c r="F48" i="3"/>
  <c r="G48" i="3" s="1"/>
  <c r="Q60" i="3"/>
  <c r="P9" i="3" s="1"/>
  <c r="C57" i="9" l="1"/>
  <c r="E57" i="9" s="1"/>
  <c r="C49" i="3"/>
  <c r="S48" i="3"/>
  <c r="I16" i="8"/>
  <c r="O16" i="8" s="1"/>
  <c r="H18" i="6"/>
  <c r="L18" i="5"/>
  <c r="K16" i="8" s="1"/>
  <c r="O18" i="5"/>
  <c r="G18" i="6" l="1"/>
  <c r="P18" i="5"/>
  <c r="E49" i="3"/>
  <c r="D58" i="9" s="1"/>
  <c r="F49" i="3"/>
  <c r="G49" i="3" s="1"/>
  <c r="G57" i="9"/>
  <c r="I57" i="9" s="1"/>
  <c r="J57" i="9" s="1"/>
  <c r="K57" i="9" s="1"/>
  <c r="F57" i="9"/>
  <c r="H57" i="9" s="1"/>
  <c r="L57" i="9"/>
  <c r="C58" i="9" l="1"/>
  <c r="E58" i="9" s="1"/>
  <c r="C50" i="3"/>
  <c r="S49" i="3"/>
  <c r="C16" i="8"/>
  <c r="D18" i="6"/>
  <c r="F18" i="6" s="1"/>
  <c r="D16" i="8" s="1"/>
  <c r="D19" i="5"/>
  <c r="M19" i="5" l="1"/>
  <c r="L17" i="8" s="1"/>
  <c r="J19" i="5"/>
  <c r="E50" i="3"/>
  <c r="D59" i="9" s="1"/>
  <c r="G58" i="9"/>
  <c r="F58" i="9"/>
  <c r="H58" i="9" s="1"/>
  <c r="L58" i="9"/>
  <c r="H19" i="6" l="1"/>
  <c r="I17" i="8"/>
  <c r="O17" i="8" s="1"/>
  <c r="L19" i="5"/>
  <c r="K17" i="8" s="1"/>
  <c r="O19" i="5"/>
  <c r="I58" i="9"/>
  <c r="J58" i="9" s="1"/>
  <c r="K58" i="9" s="1"/>
  <c r="F50" i="3"/>
  <c r="G50" i="3" s="1"/>
  <c r="C59" i="9" l="1"/>
  <c r="E59" i="9" s="1"/>
  <c r="C51" i="3"/>
  <c r="S50" i="3"/>
  <c r="G19" i="6"/>
  <c r="P19" i="5"/>
  <c r="D19" i="6" l="1"/>
  <c r="F19" i="6" s="1"/>
  <c r="D17" i="8" s="1"/>
  <c r="C17" i="8"/>
  <c r="D20" i="5"/>
  <c r="E51" i="3"/>
  <c r="D60" i="9" s="1"/>
  <c r="F59" i="9"/>
  <c r="H59" i="9" s="1"/>
  <c r="G59" i="9"/>
  <c r="I59" i="9" s="1"/>
  <c r="J59" i="9" s="1"/>
  <c r="K59" i="9" s="1"/>
  <c r="L59" i="9"/>
  <c r="J20" i="5" l="1"/>
  <c r="M20" i="5"/>
  <c r="L18" i="8" s="1"/>
  <c r="F51" i="3"/>
  <c r="G51" i="3" s="1"/>
  <c r="C60" i="9" l="1"/>
  <c r="E60" i="9" s="1"/>
  <c r="C52" i="3"/>
  <c r="S51" i="3"/>
  <c r="I18" i="8"/>
  <c r="O18" i="8" s="1"/>
  <c r="H20" i="6"/>
  <c r="L20" i="5"/>
  <c r="K18" i="8" s="1"/>
  <c r="O20" i="5"/>
  <c r="G20" i="6" l="1"/>
  <c r="P20" i="5"/>
  <c r="E52" i="3"/>
  <c r="D61" i="9" s="1"/>
  <c r="F60" i="9"/>
  <c r="H60" i="9" s="1"/>
  <c r="G60" i="9"/>
  <c r="L60" i="9"/>
  <c r="F52" i="3" l="1"/>
  <c r="D20" i="6"/>
  <c r="F20" i="6" s="1"/>
  <c r="D18" i="8" s="1"/>
  <c r="C18" i="8"/>
  <c r="D21" i="5"/>
  <c r="I60" i="9"/>
  <c r="J60" i="9" s="1"/>
  <c r="K60" i="9" s="1"/>
  <c r="G52" i="3"/>
  <c r="J21" i="5" l="1"/>
  <c r="M21" i="5"/>
  <c r="L19" i="8" s="1"/>
  <c r="C61" i="9"/>
  <c r="E61" i="9" s="1"/>
  <c r="C53" i="3"/>
  <c r="S52" i="3"/>
  <c r="E53" i="3" l="1"/>
  <c r="D62" i="9" s="1"/>
  <c r="G61" i="9"/>
  <c r="I61" i="9" s="1"/>
  <c r="J61" i="9" s="1"/>
  <c r="K61" i="9" s="1"/>
  <c r="F61" i="9"/>
  <c r="H61" i="9" s="1"/>
  <c r="L61" i="9"/>
  <c r="I19" i="8"/>
  <c r="O19" i="8" s="1"/>
  <c r="H21" i="6"/>
  <c r="L21" i="5"/>
  <c r="K19" i="8" s="1"/>
  <c r="O21" i="5"/>
  <c r="G21" i="6" l="1"/>
  <c r="P21" i="5"/>
  <c r="F53" i="3"/>
  <c r="G53" i="3" s="1"/>
  <c r="C62" i="9" l="1"/>
  <c r="E62" i="9" s="1"/>
  <c r="C54" i="3"/>
  <c r="S53" i="3"/>
  <c r="C19" i="8"/>
  <c r="D21" i="6"/>
  <c r="F21" i="6" s="1"/>
  <c r="D19" i="8" s="1"/>
  <c r="D22" i="5"/>
  <c r="E54" i="3" l="1"/>
  <c r="D63" i="9" s="1"/>
  <c r="F54" i="3"/>
  <c r="J22" i="5"/>
  <c r="M22" i="5"/>
  <c r="L20" i="8" s="1"/>
  <c r="G62" i="9"/>
  <c r="I62" i="9" s="1"/>
  <c r="J62" i="9" s="1"/>
  <c r="K62" i="9" s="1"/>
  <c r="F62" i="9"/>
  <c r="H62" i="9" s="1"/>
  <c r="L62" i="9"/>
  <c r="H22" i="6" l="1"/>
  <c r="I20" i="8"/>
  <c r="O20" i="8" s="1"/>
  <c r="L22" i="5"/>
  <c r="K20" i="8" s="1"/>
  <c r="O22" i="5"/>
  <c r="G54" i="3"/>
  <c r="C63" i="9" l="1"/>
  <c r="E63" i="9" s="1"/>
  <c r="C55" i="3"/>
  <c r="S54" i="3"/>
  <c r="G22" i="6"/>
  <c r="P22" i="5"/>
  <c r="C20" i="8" l="1"/>
  <c r="D23" i="5"/>
  <c r="D22" i="6"/>
  <c r="F22" i="6" s="1"/>
  <c r="D20" i="8" s="1"/>
  <c r="E55" i="3"/>
  <c r="D64" i="9" s="1"/>
  <c r="G63" i="9"/>
  <c r="I63" i="9" s="1"/>
  <c r="J63" i="9" s="1"/>
  <c r="K63" i="9" s="1"/>
  <c r="F63" i="9"/>
  <c r="H63" i="9" s="1"/>
  <c r="L63" i="9"/>
  <c r="F55" i="3" l="1"/>
  <c r="M23" i="5"/>
  <c r="L21" i="8" s="1"/>
  <c r="J23" i="5"/>
  <c r="G55" i="3"/>
  <c r="C64" i="9" l="1"/>
  <c r="E64" i="9" s="1"/>
  <c r="C56" i="3"/>
  <c r="S55" i="3"/>
  <c r="H23" i="6"/>
  <c r="I21" i="8"/>
  <c r="O21" i="8" s="1"/>
  <c r="L23" i="5"/>
  <c r="K21" i="8" s="1"/>
  <c r="O23" i="5"/>
  <c r="G23" i="6" l="1"/>
  <c r="P23" i="5"/>
  <c r="E56" i="3"/>
  <c r="D65" i="9" s="1"/>
  <c r="F64" i="9"/>
  <c r="H64" i="9" s="1"/>
  <c r="G64" i="9"/>
  <c r="L64" i="9"/>
  <c r="I64" i="9" l="1"/>
  <c r="J64" i="9" s="1"/>
  <c r="K64" i="9" s="1"/>
  <c r="F56" i="3"/>
  <c r="C21" i="8"/>
  <c r="D23" i="6"/>
  <c r="F23" i="6" s="1"/>
  <c r="D21" i="8" s="1"/>
  <c r="D24" i="5"/>
  <c r="G56" i="3"/>
  <c r="C65" i="9" l="1"/>
  <c r="E65" i="9" s="1"/>
  <c r="C57" i="3"/>
  <c r="S56" i="3"/>
  <c r="M24" i="5"/>
  <c r="L22" i="8" s="1"/>
  <c r="J24" i="5"/>
  <c r="I22" i="8" l="1"/>
  <c r="O22" i="8" s="1"/>
  <c r="H24" i="6"/>
  <c r="L24" i="5"/>
  <c r="K22" i="8" s="1"/>
  <c r="O24" i="5"/>
  <c r="E57" i="3"/>
  <c r="D66" i="9" s="1"/>
  <c r="F57" i="3"/>
  <c r="G65" i="9"/>
  <c r="I65" i="9" s="1"/>
  <c r="J65" i="9" s="1"/>
  <c r="K65" i="9" s="1"/>
  <c r="F65" i="9"/>
  <c r="H65" i="9" s="1"/>
  <c r="L65" i="9"/>
  <c r="G24" i="6" l="1"/>
  <c r="P24" i="5"/>
  <c r="G57" i="3"/>
  <c r="C22" i="8" l="1"/>
  <c r="D24" i="6"/>
  <c r="F24" i="6" s="1"/>
  <c r="D22" i="8" s="1"/>
  <c r="D25" i="5"/>
  <c r="C66" i="9"/>
  <c r="E66" i="9" s="1"/>
  <c r="C58" i="3"/>
  <c r="S57" i="3"/>
  <c r="F58" i="3" l="1"/>
  <c r="E58" i="3"/>
  <c r="D67" i="9" s="1"/>
  <c r="G66" i="9"/>
  <c r="F66" i="9"/>
  <c r="H66" i="9" s="1"/>
  <c r="L66" i="9"/>
  <c r="J25" i="5"/>
  <c r="M25" i="5"/>
  <c r="L23" i="8" s="1"/>
  <c r="I23" i="8" l="1"/>
  <c r="O23" i="8" s="1"/>
  <c r="H25" i="6"/>
  <c r="L25" i="5"/>
  <c r="K23" i="8" s="1"/>
  <c r="I66" i="9"/>
  <c r="J66" i="9" s="1"/>
  <c r="K66" i="9" s="1"/>
  <c r="G58" i="3"/>
  <c r="C67" i="9" l="1"/>
  <c r="E67" i="9" s="1"/>
  <c r="C59" i="3"/>
  <c r="S58" i="3"/>
  <c r="O25" i="5"/>
  <c r="G25" i="6" l="1"/>
  <c r="P25" i="5"/>
  <c r="E59" i="3"/>
  <c r="D68" i="9" s="1"/>
  <c r="G67" i="9"/>
  <c r="F67" i="9"/>
  <c r="H67" i="9" s="1"/>
  <c r="L67" i="9"/>
  <c r="I67" i="9" l="1"/>
  <c r="J67" i="9" s="1"/>
  <c r="K67" i="9" s="1"/>
  <c r="C23" i="8"/>
  <c r="D25" i="6"/>
  <c r="F25" i="6" s="1"/>
  <c r="D23" i="8" s="1"/>
  <c r="D26" i="5"/>
  <c r="F59" i="3"/>
  <c r="G59" i="3" s="1"/>
  <c r="C68" i="9" l="1"/>
  <c r="E68" i="9" s="1"/>
  <c r="C60" i="3"/>
  <c r="S59" i="3"/>
  <c r="M26" i="5"/>
  <c r="L24" i="8" s="1"/>
  <c r="J26" i="5"/>
  <c r="I24" i="8" l="1"/>
  <c r="O24" i="8" s="1"/>
  <c r="H26" i="6"/>
  <c r="L26" i="5"/>
  <c r="K24" i="8" s="1"/>
  <c r="E60" i="3"/>
  <c r="F68" i="9"/>
  <c r="H68" i="9" s="1"/>
  <c r="G68" i="9"/>
  <c r="L68" i="9"/>
  <c r="D69" i="9" l="1"/>
  <c r="E61" i="3"/>
  <c r="P6" i="3"/>
  <c r="O26" i="5"/>
  <c r="F60" i="3"/>
  <c r="F61" i="3" s="1"/>
  <c r="I68" i="9"/>
  <c r="J68" i="9" s="1"/>
  <c r="K68" i="9" s="1"/>
  <c r="G26" i="6" l="1"/>
  <c r="P26" i="5"/>
  <c r="G60" i="3"/>
  <c r="D70" i="9"/>
  <c r="C69" i="9" l="1"/>
  <c r="E69" i="9" s="1"/>
  <c r="S60" i="3"/>
  <c r="P5" i="3"/>
  <c r="D26" i="6"/>
  <c r="F26" i="6" s="1"/>
  <c r="D24" i="8" s="1"/>
  <c r="C24" i="8"/>
  <c r="D27" i="5"/>
  <c r="J27" i="5" l="1"/>
  <c r="M27" i="5"/>
  <c r="L25" i="8" s="1"/>
  <c r="G69" i="9"/>
  <c r="F69" i="9"/>
  <c r="L69" i="9"/>
  <c r="G70" i="9" l="1"/>
  <c r="H69" i="9"/>
  <c r="H70" i="9" s="1"/>
  <c r="F70" i="9"/>
  <c r="I25" i="8"/>
  <c r="O25" i="8" s="1"/>
  <c r="H27" i="6"/>
  <c r="L27" i="5"/>
  <c r="K25" i="8" s="1"/>
  <c r="O27" i="5"/>
  <c r="G27" i="6" l="1"/>
  <c r="P27" i="5"/>
  <c r="I69" i="9"/>
  <c r="D27" i="6" l="1"/>
  <c r="F27" i="6" s="1"/>
  <c r="D25" i="8" s="1"/>
  <c r="C25" i="8"/>
  <c r="D28" i="5"/>
  <c r="I70" i="9"/>
  <c r="J69" i="9"/>
  <c r="K69" i="9" l="1"/>
  <c r="K70" i="9" s="1"/>
  <c r="J70" i="9"/>
  <c r="J28" i="5"/>
  <c r="M28" i="5"/>
  <c r="L26" i="8" s="1"/>
  <c r="I26" i="8" l="1"/>
  <c r="O26" i="8" s="1"/>
  <c r="H28" i="6"/>
  <c r="L28" i="5"/>
  <c r="K26" i="8" s="1"/>
  <c r="O28" i="5" l="1"/>
  <c r="G28" i="6" l="1"/>
  <c r="P28" i="5"/>
  <c r="D28" i="6" l="1"/>
  <c r="F28" i="6" s="1"/>
  <c r="D26" i="8" s="1"/>
  <c r="C26" i="8"/>
  <c r="D29" i="5"/>
  <c r="J29" i="5" l="1"/>
  <c r="M29" i="5"/>
  <c r="L27" i="8" s="1"/>
  <c r="I27" i="8" l="1"/>
  <c r="O27" i="8" s="1"/>
  <c r="L29" i="5"/>
  <c r="K27" i="8" s="1"/>
  <c r="H29" i="6"/>
  <c r="O29" i="5"/>
  <c r="G29" i="6" l="1"/>
  <c r="P29" i="5"/>
  <c r="C27" i="8" l="1"/>
  <c r="D29" i="6"/>
  <c r="F29" i="6" s="1"/>
  <c r="D27" i="8" s="1"/>
  <c r="D30" i="5"/>
  <c r="M30" i="5" l="1"/>
  <c r="L28" i="8" s="1"/>
  <c r="J30" i="5"/>
  <c r="H30" i="6" l="1"/>
  <c r="I28" i="8"/>
  <c r="O28" i="8" s="1"/>
  <c r="L30" i="5"/>
  <c r="K28" i="8" s="1"/>
  <c r="O30" i="5"/>
  <c r="G30" i="6" l="1"/>
  <c r="P30" i="5"/>
  <c r="C28" i="8" l="1"/>
  <c r="D31" i="5"/>
  <c r="D30" i="6"/>
  <c r="F30" i="6" s="1"/>
  <c r="D28" i="8" s="1"/>
  <c r="M31" i="5" l="1"/>
  <c r="L29" i="8" s="1"/>
  <c r="J31" i="5"/>
  <c r="H31" i="6" l="1"/>
  <c r="I29" i="8"/>
  <c r="O29" i="8" s="1"/>
  <c r="L31" i="5"/>
  <c r="K29" i="8" s="1"/>
  <c r="O31" i="5"/>
  <c r="G31" i="6" l="1"/>
  <c r="P31" i="5"/>
  <c r="C29" i="8" l="1"/>
  <c r="D32" i="5"/>
  <c r="D31" i="6"/>
  <c r="F31" i="6" s="1"/>
  <c r="D29" i="8" s="1"/>
  <c r="M32" i="5" l="1"/>
  <c r="L30" i="8" s="1"/>
  <c r="J32" i="5"/>
  <c r="I30" i="8" l="1"/>
  <c r="O30" i="8" s="1"/>
  <c r="H32" i="6"/>
  <c r="L32" i="5"/>
  <c r="K30" i="8" s="1"/>
  <c r="O32" i="5"/>
  <c r="G32" i="6" l="1"/>
  <c r="P32" i="5"/>
  <c r="C30" i="8" l="1"/>
  <c r="D32" i="6"/>
  <c r="F32" i="6" s="1"/>
  <c r="D30" i="8" s="1"/>
  <c r="D33" i="5"/>
  <c r="M33" i="5" l="1"/>
  <c r="J33" i="5"/>
  <c r="I31" i="8" l="1"/>
  <c r="O31" i="8" s="1"/>
  <c r="H33" i="6"/>
  <c r="L33" i="5"/>
  <c r="J34" i="5"/>
  <c r="O33" i="5"/>
  <c r="L31" i="8"/>
  <c r="M34" i="5"/>
  <c r="G33" i="6" l="1"/>
  <c r="O34" i="5"/>
  <c r="P33" i="5"/>
  <c r="K31" i="8"/>
  <c r="L34" i="5"/>
  <c r="B26" i="7"/>
  <c r="O5" i="1"/>
  <c r="B23" i="7"/>
  <c r="K5" i="1"/>
  <c r="B25" i="7" l="1"/>
  <c r="M5" i="1"/>
  <c r="C31" i="8"/>
  <c r="B31" i="7"/>
  <c r="B30" i="7"/>
  <c r="B29" i="7"/>
  <c r="B17" i="7"/>
  <c r="D33" i="6"/>
  <c r="F33" i="6" s="1"/>
  <c r="P34" i="5"/>
  <c r="E5" i="1"/>
  <c r="D31" i="8" l="1"/>
  <c r="B18" i="7"/>
  <c r="G5" i="1"/>
</calcChain>
</file>

<file path=xl/sharedStrings.xml><?xml version="1.0" encoding="utf-8"?>
<sst xmlns="http://schemas.openxmlformats.org/spreadsheetml/2006/main" count="3254" uniqueCount="2940">
  <si>
    <t>🇦🇺  SUPERANNUATION 30-YEAR PROJECTION  |  VISUAL DASHBOARD</t>
  </si>
  <si>
    <t>ATO-Compliant  ·  APRA Guidelines  ·  FY2025-26 Parameters  ·  Edit inputs in the Assumptions sheet — all charts update automatically</t>
  </si>
  <si>
    <t xml:space="preserve">  KEY METRICS AT A GLANCE</t>
  </si>
  <si>
    <t>Starting
Balance</t>
  </si>
  <si>
    <t>Retirement
Balance</t>
  </si>
  <si>
    <t>Real (CPI-adj)
Balance</t>
  </si>
  <si>
    <t>Total
Contributions</t>
  </si>
  <si>
    <t>Total Gross
Earnings</t>
  </si>
  <si>
    <t>Total Taxes
Paid</t>
  </si>
  <si>
    <t>Total Fees &amp;
Insurance</t>
  </si>
  <si>
    <t>Gross Return
Rate p.a.</t>
  </si>
  <si>
    <t>Real Return
Rate p.a.</t>
  </si>
  <si>
    <t>Retirement
Age</t>
  </si>
  <si>
    <t>CHART 1 — Balance Growth: Nominal vs Real (CPI-Adjusted)</t>
  </si>
  <si>
    <t>CHART 2 — Annual Contributions Breakdown by Source</t>
  </si>
  <si>
    <t>CHART 3 — Annual Gross Earnings vs Taxes &amp; Fees Drag</t>
  </si>
  <si>
    <t>CHART 4 — Cumulative Contributions vs Investment Earnings</t>
  </si>
  <si>
    <t>SOURCE: ATO.gov.au | APRA.gov.au | FY2025-26 Legislative Parameters  ·  DISCLAIMER: Illustrative only. Not financial advice (Corporations Act 2001 s.766B). Consult a licensed AFS adviser.  ·  COLOUR KEY:  Blue text = hardcoded inputs  ·  Black text = formulas  ·  Green text = cross-sheet links</t>
  </si>
  <si>
    <t>🇦🇺  SUPERANNUATION INVESTMENT OPTIONS &amp; SWITCHING GUIDE  |  APRA &amp; ASIC FY2025-26</t>
  </si>
  <si>
    <t>Conservative  ·  Balanced  ·  Growth  ·  High-Growth  ·  MySuper Lifecycle  ·  ESG/Ethical  ·  Market-Timing Risk  ·  Switching Costs</t>
  </si>
  <si>
    <t xml:space="preserve">  SECTION A — INVESTMENT OPTION PROFILES (APRA / ASIC Benchmarks)</t>
  </si>
  <si>
    <t xml:space="preserve">  SECTION B — 30-YEAR BALANCE PROJECTOR (compare any 3 options)</t>
  </si>
  <si>
    <t xml:space="preserve">  SECTION C — MySuper LIFECYCLE GLIDEPATH (Default Fund Allocation by Age)</t>
  </si>
  <si>
    <t xml:space="preserve">  SECTION E — MARKET-TIMING RISK: "SWITCH TO CASH" vs "STAY THE COURSE"</t>
  </si>
  <si>
    <t xml:space="preserve">  SECTION F — SWITCHING COST &amp; BUY-SELL SPREAD CALCULATOR</t>
  </si>
  <si>
    <t>Profile Attribute</t>
  </si>
  <si>
    <t>🔵 CONSERVATIVE</t>
  </si>
  <si>
    <t>🟢 BALANCED
(MySuper Default)</t>
  </si>
  <si>
    <t>🟠 GROWTH</t>
  </si>
  <si>
    <t>🔴 HIGH-GROWTH</t>
  </si>
  <si>
    <t>🌿 ESG / ETHICAL
(Balanced-equiv)</t>
  </si>
  <si>
    <t>Projector Inputs &amp; Outputs</t>
  </si>
  <si>
    <t>Option A</t>
  </si>
  <si>
    <t>Option B</t>
  </si>
  <si>
    <t>Option C</t>
  </si>
  <si>
    <t>Age Band</t>
  </si>
  <si>
    <t>Growth Assets %
(typical range)</t>
  </si>
  <si>
    <t>Defensive Assets %
(typical range)</t>
  </si>
  <si>
    <t>Implied Option
(equivalent)</t>
  </si>
  <si>
    <t>Market-Timing Scenario</t>
  </si>
  <si>
    <t>Switch to
Cash (Panic)</t>
  </si>
  <si>
    <t>Stay the
Course</t>
  </si>
  <si>
    <t>Cost of
Mistake ($)</t>
  </si>
  <si>
    <t>Switching Cost — Parameter</t>
  </si>
  <si>
    <t>Redeeming
Option</t>
  </si>
  <si>
    <t>Buying Into
New Option</t>
  </si>
  <si>
    <t>Total
Cost ($)</t>
  </si>
  <si>
    <t>RETURN PROFILE</t>
  </si>
  <si>
    <t>Starting balance ($)</t>
  </si>
  <si>
    <t>ACCUMULATION PHASE — YOUNGER MEMBERS</t>
  </si>
  <si>
    <t>SCENARIO INPUTS (yellow cells = change these)</t>
  </si>
  <si>
    <t>Account balance being switched ($)</t>
  </si>
  <si>
    <t>Target return (CPI + p.a.)</t>
  </si>
  <si>
    <t>CPI+1.5%</t>
  </si>
  <si>
    <t>CPI+3.0%</t>
  </si>
  <si>
    <t>CPI+4.0%</t>
  </si>
  <si>
    <t>CPI+5.0%</t>
  </si>
  <si>
    <t>Annual contribution ($)</t>
  </si>
  <si>
    <t>18 – 24</t>
  </si>
  <si>
    <t>90-95%</t>
  </si>
  <si>
    <t>5-10%</t>
  </si>
  <si>
    <t>High-Growth</t>
  </si>
  <si>
    <t>Starting balance at market peak ($)</t>
  </si>
  <si>
    <t>Buy-sell spread — redeeming option (%)</t>
  </si>
  <si>
    <t>Long-run gross return (nominal)</t>
  </si>
  <si>
    <t>~5.0%</t>
  </si>
  <si>
    <t>~7.5%</t>
  </si>
  <si>
    <t>~9.0%</t>
  </si>
  <si>
    <t>~10.5%</t>
  </si>
  <si>
    <t>~7.0%</t>
  </si>
  <si>
    <t>Gross annual return (%)</t>
  </si>
  <si>
    <t>25 – 34</t>
  </si>
  <si>
    <t>85-92%</t>
  </si>
  <si>
    <t>8-15%</t>
  </si>
  <si>
    <t>High-Growth → Growth</t>
  </si>
  <si>
    <t>Market crash depth (%)</t>
  </si>
  <si>
    <t>Buy-sell spread — new option (%)</t>
  </si>
  <si>
    <t>Recommended investment horizon</t>
  </si>
  <si>
    <t>2+ years</t>
  </si>
  <si>
    <t>7+ years</t>
  </si>
  <si>
    <t>10+ years</t>
  </si>
  <si>
    <t>Annual ICR/MER fee (%)</t>
  </si>
  <si>
    <t>35 – 44</t>
  </si>
  <si>
    <t>75-85%</t>
  </si>
  <si>
    <t>15-25%</t>
  </si>
  <si>
    <t>Growth</t>
  </si>
  <si>
    <t>Months after peak you switch to cash</t>
  </si>
  <si>
    <t>Performance gap (new vs old, est. % p.a.)</t>
  </si>
  <si>
    <t>Negative return years (approx.)</t>
  </si>
  <si>
    <t>1 in 25</t>
  </si>
  <si>
    <t>1 in 11</t>
  </si>
  <si>
    <t>1 in 6</t>
  </si>
  <si>
    <t>1 in 5</t>
  </si>
  <si>
    <t>1 in 10</t>
  </si>
  <si>
    <t>Inflation rate (%)</t>
  </si>
  <si>
    <t>45 – 49</t>
  </si>
  <si>
    <t>65-75%</t>
  </si>
  <si>
    <t>25-35%</t>
  </si>
  <si>
    <t>Growth → Balanced</t>
  </si>
  <si>
    <t>Months you stay in cash</t>
  </si>
  <si>
    <t>Years until retirement</t>
  </si>
  <si>
    <t>ASSET ALLOCATION</t>
  </si>
  <si>
    <t>Years to project</t>
  </si>
  <si>
    <t>50 – 54</t>
  </si>
  <si>
    <t>55-65%</t>
  </si>
  <si>
    <t>35-45%</t>
  </si>
  <si>
    <t>Balanced</t>
  </si>
  <si>
    <t>Annual return in cash (%)</t>
  </si>
  <si>
    <t>Defensive assets %</t>
  </si>
  <si>
    <t>70-85%</t>
  </si>
  <si>
    <t>30-40%</t>
  </si>
  <si>
    <t>25-40%</t>
  </si>
  <si>
    <t>55 – 59</t>
  </si>
  <si>
    <t>45-55%</t>
  </si>
  <si>
    <t>Balanced → Conservative</t>
  </si>
  <si>
    <t>Annual return if stayed invested (%)</t>
  </si>
  <si>
    <t>SWITCHING COST OUTPUTS</t>
  </si>
  <si>
    <t>Growth assets %</t>
  </si>
  <si>
    <t>15-30%</t>
  </si>
  <si>
    <t>60-70%</t>
  </si>
  <si>
    <t>60-75%</t>
  </si>
  <si>
    <t>CALCULATED PROJECTIONS (30 years)</t>
  </si>
  <si>
    <t>60 – 64</t>
  </si>
  <si>
    <t>Conservative-Balanced</t>
  </si>
  <si>
    <t>Sell spread cost — exit ($)</t>
  </si>
  <si>
    <t>—</t>
  </si>
  <si>
    <t xml:space="preserve">  – Australian equities %</t>
  </si>
  <si>
    <t>20-30%</t>
  </si>
  <si>
    <t>28-35%</t>
  </si>
  <si>
    <t>Net return after ICR (p.a.)</t>
  </si>
  <si>
    <t>65+</t>
  </si>
  <si>
    <t>Conservative</t>
  </si>
  <si>
    <t>Buy spread cost — entry ($)</t>
  </si>
  <si>
    <t xml:space="preserve">  – International equities %</t>
  </si>
  <si>
    <t>40-50%</t>
  </si>
  <si>
    <t>Real return after inflation</t>
  </si>
  <si>
    <t>PRE-RETIREMENT GLIDEPATH (transition)</t>
  </si>
  <si>
    <t>CALCULATED IMPACT</t>
  </si>
  <si>
    <t>Total immediate switching cost ($)</t>
  </si>
  <si>
    <t xml:space="preserve">  – Property / Infrastructure %</t>
  </si>
  <si>
    <t>8-12%</t>
  </si>
  <si>
    <t>Balance at end of period ($)</t>
  </si>
  <si>
    <t>Glidepath starts</t>
  </si>
  <si>
    <t>Age 50-55</t>
  </si>
  <si>
    <t>Automatic</t>
  </si>
  <si>
    <t>No action needed</t>
  </si>
  <si>
    <t>Balance when you switch (after partial crash)</t>
  </si>
  <si>
    <t>Breakeven period (if justified by higher return)</t>
  </si>
  <si>
    <t xml:space="preserve">  – Fixed income / Bonds %</t>
  </si>
  <si>
    <t>40-60%</t>
  </si>
  <si>
    <t>10-15%</t>
  </si>
  <si>
    <t>0-5%</t>
  </si>
  <si>
    <t>Total contributions ($)</t>
  </si>
  <si>
    <t>Glidepath end</t>
  </si>
  <si>
    <t>Age 67+</t>
  </si>
  <si>
    <t>Pension phase</t>
  </si>
  <si>
    <t>Balance after time in cash</t>
  </si>
  <si>
    <t>Balance gain from switching (30 yr, if return improves)</t>
  </si>
  <si>
    <t xml:space="preserve">  – Cash %</t>
  </si>
  <si>
    <t>2-5%</t>
  </si>
  <si>
    <t>0-2%</t>
  </si>
  <si>
    <t>Total investment growth ($)</t>
  </si>
  <si>
    <t>Frequency of rebalancing</t>
  </si>
  <si>
    <t>Quarterly</t>
  </si>
  <si>
    <t>Trustee decision</t>
  </si>
  <si>
    <t>Balance after re-investing (stay in cash too long)</t>
  </si>
  <si>
    <t>FEES &amp; COSTS</t>
  </si>
  <si>
    <t>Fees paid over period ($)</t>
  </si>
  <si>
    <t>KEY ADVANTAGE</t>
  </si>
  <si>
    <t>BALANCE AT RETIREMENT</t>
  </si>
  <si>
    <t>Typical ICR / MER range %</t>
  </si>
  <si>
    <t>0.10-0.30%</t>
  </si>
  <si>
    <t>0.45-0.85%</t>
  </si>
  <si>
    <t>0.60-1.00%</t>
  </si>
  <si>
    <t>0.70-1.10%</t>
  </si>
  <si>
    <t>0.65-1.20%</t>
  </si>
  <si>
    <t>Real balance (inflation-adj.) ($)</t>
  </si>
  <si>
    <t>No switching required</t>
  </si>
  <si>
    <t>Reduces market-timing risk</t>
  </si>
  <si>
    <t>Cost of switching to cash ($)</t>
  </si>
  <si>
    <t>Buy-sell spread (typical)</t>
  </si>
  <si>
    <t>±0.01%</t>
  </si>
  <si>
    <t>±0.10%</t>
  </si>
  <si>
    <t>±0.15%</t>
  </si>
  <si>
    <t>±0.20%</t>
  </si>
  <si>
    <t>±0.12%</t>
  </si>
  <si>
    <t>Fee structure</t>
  </si>
  <si>
    <t>Low (APRA cap)</t>
  </si>
  <si>
    <t>Performance test applies</t>
  </si>
  <si>
    <t>Cost as % of retirement balance</t>
  </si>
  <si>
    <t>SUITABILITY</t>
  </si>
  <si>
    <t>Year-by-year data (feeds chart)</t>
  </si>
  <si>
    <t>Who is it for?</t>
  </si>
  <si>
    <t>Disengaged members</t>
  </si>
  <si>
    <t>Default option per employer</t>
  </si>
  <si>
    <t>Extra years of income lost</t>
  </si>
  <si>
    <t>Best suited to age band</t>
  </si>
  <si>
    <t>60-67+</t>
  </si>
  <si>
    <t>35-55</t>
  </si>
  <si>
    <t>25-45</t>
  </si>
  <si>
    <t>18-35</t>
  </si>
  <si>
    <t>Any age</t>
  </si>
  <si>
    <t>LIMITATION</t>
  </si>
  <si>
    <t>Risk tolerance</t>
  </si>
  <si>
    <t>Low</t>
  </si>
  <si>
    <t>Medium</t>
  </si>
  <si>
    <t>Med-High</t>
  </si>
  <si>
    <t>High</t>
  </si>
  <si>
    <t>Med (values-led)</t>
  </si>
  <si>
    <t>One-size-fits-all</t>
  </si>
  <si>
    <t>Not personalised</t>
  </si>
  <si>
    <t>May not suit your risk profile</t>
  </si>
  <si>
    <t xml:space="preserve">  BEHAVIOURAL FINANCE: 7 RULES TO AVOID MARKET-TIMING MISTAKES</t>
  </si>
  <si>
    <t>Short-term volatility tolerance</t>
  </si>
  <si>
    <t>Very low</t>
  </si>
  <si>
    <t>Moderate</t>
  </si>
  <si>
    <t>Very high</t>
  </si>
  <si>
    <t>No ESG screening</t>
  </si>
  <si>
    <t>Standard only</t>
  </si>
  <si>
    <t>Switch to ESG if values matter</t>
  </si>
  <si>
    <t>1. You must be right TWICE</t>
  </si>
  <si>
    <t>When to exit AND when to re-enter. Most investors nail only one.</t>
  </si>
  <si>
    <t>PERFORMANCE CONTEXT</t>
  </si>
  <si>
    <t>2. Markets recover faster than expectations</t>
  </si>
  <si>
    <t>The average equity bear market lasts 14 months; bull markets average 50 months.</t>
  </si>
  <si>
    <t>COVID crash drop (approx.)</t>
  </si>
  <si>
    <t>-8%</t>
  </si>
  <si>
    <t>-15%</t>
  </si>
  <si>
    <t>-22%</t>
  </si>
  <si>
    <t>-30%</t>
  </si>
  <si>
    <t>-14%</t>
  </si>
  <si>
    <t>3. Missing the 10 best days is catastrophic</t>
  </si>
  <si>
    <t>Missing the 10 best ASX days in 20 years cuts your return by ~50%.</t>
  </si>
  <si>
    <t>GFC peak-to-trough (approx.)</t>
  </si>
  <si>
    <t>-12%</t>
  </si>
  <si>
    <t>-26%</t>
  </si>
  <si>
    <t>-38%</t>
  </si>
  <si>
    <t>-50%</t>
  </si>
  <si>
    <t>N/A (new)</t>
  </si>
  <si>
    <t xml:space="preserve">  SECTION D — ESG / ETHICAL INVESTMENT OPTIONS  (fastest-growing super segment)</t>
  </si>
  <si>
    <t>4. Volatility ≠ permanent loss</t>
  </si>
  <si>
    <t>A 30% paper loss is recovered; only selling turns it into a permanent loss.</t>
  </si>
  <si>
    <t>1-yr recovery post-crash (avg.)</t>
  </si>
  <si>
    <t>6-8%</t>
  </si>
  <si>
    <t>12-18%</t>
  </si>
  <si>
    <t>18-28%</t>
  </si>
  <si>
    <t>ESG Category / Screen</t>
  </si>
  <si>
    <t>Description</t>
  </si>
  <si>
    <t>Common Exclusions</t>
  </si>
  <si>
    <t>Performance Note</t>
  </si>
  <si>
    <t>5. Cash is a risk too</t>
  </si>
  <si>
    <t>Sitting in cash earning 4% while markets rise 25% creates an invisible loss.</t>
  </si>
  <si>
    <t>ESG SCREENING</t>
  </si>
  <si>
    <t>SCREENING APPROACHES</t>
  </si>
  <si>
    <t>6. Dollar-cost averaging beats timing</t>
  </si>
  <si>
    <t>Regular fixed contributions buy more units when prices are low — automatic.</t>
  </si>
  <si>
    <t>Negative screens (exclusions)</t>
  </si>
  <si>
    <t>None</t>
  </si>
  <si>
    <t>Tobacco, weapons, coal, gambling</t>
  </si>
  <si>
    <t>Negative screening
(exclusions)</t>
  </si>
  <si>
    <t>Excludes specific sectors or companies from investment universe</t>
  </si>
  <si>
    <t>Tobacco, weapons, gambling, thermal coal, fossil fuels, adult entertainment</t>
  </si>
  <si>
    <t>Minimal return impact in recent decades</t>
  </si>
  <si>
    <t>7. Seek advice before switching</t>
  </si>
  <si>
    <t>ASIC MoneySmart recommends speaking to a licensed adviser before switching options.</t>
  </si>
  <si>
    <t>Positive screens / tilt</t>
  </si>
  <si>
    <t>Low-carbon, governance, social</t>
  </si>
  <si>
    <t>Positive screening
(best-in-class)</t>
  </si>
  <si>
    <t>Invests in top ESG performers within each sector</t>
  </si>
  <si>
    <t>Lower-ranked companies in each sector (relative approach)</t>
  </si>
  <si>
    <t>Can outperform when governance issues cause sector underperformance</t>
  </si>
  <si>
    <t>APRA performance test result (2024)</t>
  </si>
  <si>
    <t>Pass</t>
  </si>
  <si>
    <t>ESG integration</t>
  </si>
  <si>
    <t>ESG factors incorporated into financial analysis (not absolute exclusion)</t>
  </si>
  <si>
    <t>No mandatory exclusions — ESG informs valuation only</t>
  </si>
  <si>
    <t>Increasingly standard across all major super funds</t>
  </si>
  <si>
    <t>Thematic / impact investing</t>
  </si>
  <si>
    <t>Targets specific themes: clean energy, water, social housing, healthcare</t>
  </si>
  <si>
    <t>Companies not aligned to selected theme</t>
  </si>
  <si>
    <t>Higher concentration risk; returns vary significantly by theme</t>
  </si>
  <si>
    <t>KEY FACTS (APRA / Responsible Investment Association Australia 2024)</t>
  </si>
  <si>
    <t>Market size (2024)</t>
  </si>
  <si>
    <t>Responsible investments now exceed $1.5 trillion in Australia (RIAA)</t>
  </si>
  <si>
    <t>Fastest-growing segment of the super industry</t>
  </si>
  <si>
    <t>Typical fee premium vs standard</t>
  </si>
  <si>
    <t>ESG options typically charge +0.10% to +0.30% p.a. more than standard</t>
  </si>
  <si>
    <t>Fee gap is narrowing as scale grows</t>
  </si>
  <si>
    <t>Long-run return comparison</t>
  </si>
  <si>
    <t>MSCI World ESG Leaders outperformed standard index in 5/10 yrs to 2024</t>
  </si>
  <si>
    <t>No conclusive long-run return disadvantage confirmed by peer-reviewed research</t>
  </si>
  <si>
    <t>QUESTIONS TO ASK YOUR FUND</t>
  </si>
  <si>
    <t>What is excluded?</t>
  </si>
  <si>
    <t>Ask for the full exclusion list — definitions vary widely between funds</t>
  </si>
  <si>
    <t xml:space="preserve">— </t>
  </si>
  <si>
    <t>Is it integrated or screened?</t>
  </si>
  <si>
    <t>Integration ≠ screening — ask explicitly if sectors like fossil fuels are excluded</t>
  </si>
  <si>
    <t>What is the APRA performance test result?</t>
  </si>
  <si>
    <t>All MySuper and nominated options must pass the annual APRA performance test</t>
  </si>
  <si>
    <t>Failing funds cannot accept new members</t>
  </si>
  <si>
    <t xml:space="preserve">  BALANCE PROJECTOR CHART — Option A vs B vs C (30 Years)</t>
  </si>
  <si>
    <t>SOURCES &amp; DISCLAIMER: Investment option return ranges based on APRA Super Insights FY2024-25 and Chant West historical data. MySuper lifecycle parameters: APRA Heatmap methodology. ESG data: Responsible Investment Association Australasia (RIAA) Benchmark Report 2024. Market-timing statistics: ASX and MSCI historical data. Buy-sell spreads: indicative industry averages only — check your PDS for exact rates. This sheet is for educational purposes only and does not constitute financial product advice (Corporations Act 2001 s.766B). Past performance is not a reliable indicator of future performance. Seek advice from a licensed AFS adviser before switching options.</t>
  </si>
  <si>
    <t>🇦🇺  ACCOUNT-BASED PENSION (ABP) DRAWDOWN ANALYSIS  |  ATO-Compliant</t>
  </si>
  <si>
    <t>Three Scenarios: ATO Minimum Drawdown  ·  4% Flat Rate  ·  5% Flat Rate  ·  Earnings tax-FREE in pension phase (s.295-385 ITAA97)</t>
  </si>
  <si>
    <t xml:space="preserve">  SECTION 1 – PENSION PHASE INPUTS  (blue cells = change these)</t>
  </si>
  <si>
    <t xml:space="preserve">  SECTION 2 – SCENARIO OUTCOMES SUMMARY</t>
  </si>
  <si>
    <t>Starting Pension Balance ($)</t>
  </si>
  <si>
    <t>Defaults to $400,000. Or link to: ='30-Year Projection'!P33</t>
  </si>
  <si>
    <t>Scenario A — Fund Exhausts at Age</t>
  </si>
  <si>
    <t>Age at Pension Commencement</t>
  </si>
  <si>
    <t>Minimum preservation age is 60. Age Pension eligibility: 67</t>
  </si>
  <si>
    <t>Scenario A — Total Drawdowns (30 yrs)</t>
  </si>
  <si>
    <t>Gross Investment Return – Pension Phase (% p.a.)</t>
  </si>
  <si>
    <t>Tax-FREE in pension phase. Typical balanced option: 5%–7% p.a.</t>
  </si>
  <si>
    <t>Scenario B — Fund Exhausts at Age</t>
  </si>
  <si>
    <t>Inflation Rate (% p.a.)</t>
  </si>
  <si>
    <t>RBA target band 2%–3%. Used to calculate real (CPI-adjusted) balances.</t>
  </si>
  <si>
    <t>Scenario B — Total Drawdowns (36 yrs)</t>
  </si>
  <si>
    <t>Annual Admin Fee ($)</t>
  </si>
  <si>
    <t>Fixed admin fee deducted each year from pension account.</t>
  </si>
  <si>
    <t>Scenario C — Fund Exhausts at Age</t>
  </si>
  <si>
    <t>Investment Management Fee (% p.a.)</t>
  </si>
  <si>
    <t>ICR/MER charged on account balance. Typical: 0.40%–0.80% p.a.</t>
  </si>
  <si>
    <t>Scenario C — Total Drawdowns (36 yrs)</t>
  </si>
  <si>
    <t>Age Pension (Full Single, $ p.a.)</t>
  </si>
  <si>
    <t>FY2025-26 full Age Pension for singles: $28,514 p.a. (Source: DSS)</t>
  </si>
  <si>
    <t>Age Pension eligible from age</t>
  </si>
  <si>
    <t xml:space="preserve">  ATO LEGISLATED MINIMUM DRAWDOWN RATES (Schedule 7 – SIS Act)</t>
  </si>
  <si>
    <t>Min Rate</t>
  </si>
  <si>
    <t>Source: SIS Act Schedule 7 | Temporary halving waived from 1 Jul 2023</t>
  </si>
  <si>
    <t>Under 65</t>
  </si>
  <si>
    <t>4%</t>
  </si>
  <si>
    <t>65 – 74</t>
  </si>
  <si>
    <t>5%</t>
  </si>
  <si>
    <t>75 – 79</t>
  </si>
  <si>
    <t>6%</t>
  </si>
  <si>
    <t>80 – 84</t>
  </si>
  <si>
    <t>7%</t>
  </si>
  <si>
    <t>85 – 89</t>
  </si>
  <si>
    <t>9%</t>
  </si>
  <si>
    <t>90 – 94</t>
  </si>
  <si>
    <t>11%</t>
  </si>
  <si>
    <t>95 and over</t>
  </si>
  <si>
    <t>14%</t>
  </si>
  <si>
    <t>📉 SCENARIO A – ATO MINIMUM DRAWDOWN</t>
  </si>
  <si>
    <t>📊 SCENARIO B – 4% FLAT DRAWDOWN</t>
  </si>
  <si>
    <t>📈 SCENARIO C – 5% FLAT DRAWDOWN</t>
  </si>
  <si>
    <t>Yr #</t>
  </si>
  <si>
    <t>Age</t>
  </si>
  <si>
    <t>Opening
Balance ($)</t>
  </si>
  <si>
    <t>Min Draw
Rate (%)</t>
  </si>
  <si>
    <t>Annual
Drawdown ($)</t>
  </si>
  <si>
    <t>Investment
Return ($)</t>
  </si>
  <si>
    <t>Closing
Balance ($)</t>
  </si>
  <si>
    <t>Notes</t>
  </si>
  <si>
    <t>TOTALS</t>
  </si>
  <si>
    <t>Total Drawdowns:</t>
  </si>
  <si>
    <t xml:space="preserve">  PENSION BALANCE TRAJECTORY — ALL THREE SCENARIOS</t>
  </si>
  <si>
    <t>DISCLAIMER: This model is for educational purposes only and does not constitute financial product advice (Corporations Act 2001 s.766B). ATO minimum drawdown rates sourced from Schedule 7, SIS Act. Age Pension rates: DSS, FY2025-26. Consult a licensed AFS adviser before commencing a pension. Source: ato.gov.au | apra.gov.au | dss.gov.au</t>
  </si>
  <si>
    <t>🇦🇺  AUSTRALIAN SUPERANNUATION 30-YEAR PROJECTION MODEL</t>
  </si>
  <si>
    <t>ATO-Compliant | APRA Guidelines | FY2025-26 Parameters</t>
  </si>
  <si>
    <t>SECTION 1 – PERSONAL DETAILS</t>
  </si>
  <si>
    <t>Current Age (years)</t>
  </si>
  <si>
    <t>Must be between 18 and 67 (preservation age 60)</t>
  </si>
  <si>
    <t>Retirement Age (years)</t>
  </si>
  <si>
    <t>Default: 67 (current Age Pension age). Min preservation age: 60</t>
  </si>
  <si>
    <t>Current Superannuation Balance ($)</t>
  </si>
  <si>
    <t>Enter your most recent super fund statement balance</t>
  </si>
  <si>
    <t>Current Annual Salary ($ gross)</t>
  </si>
  <si>
    <t>Total Employment Income before tax and super (OTE basis)</t>
  </si>
  <si>
    <t>SECTION 2 – EMPLOYER CONTRIBUTIONS (SGC)</t>
  </si>
  <si>
    <t>Superannuation Guarantee Rate (%)</t>
  </si>
  <si>
    <t>FY2025-26: 11.5%. Rising to 12.0% from 1 Jul 2025 onwards per schedule</t>
  </si>
  <si>
    <t>SGC Rate from FY2026 onwards (%)</t>
  </si>
  <si>
    <t>Source: Treasury Laws Amendment (Fairer for Longer) Act 2023</t>
  </si>
  <si>
    <t>Concessional Contributions Cap ($)</t>
  </si>
  <si>
    <t>FY2025-26 cap (indexed to AWOTE). Includes employer + salary sacrifice</t>
  </si>
  <si>
    <t>SECTION 3 – SALARY SACRIFICE (ADDITIONAL PRE-TAX)</t>
  </si>
  <si>
    <t>Annual Salary Sacrifice Amount ($)</t>
  </si>
  <si>
    <t>Pre-tax contribution. Must not exceed concessional cap less SGC</t>
  </si>
  <si>
    <t>Salary Sacrifice Escalation Rate (%)</t>
  </si>
  <si>
    <t>Annual increase in salary sacrifice — set 0 to keep flat</t>
  </si>
  <si>
    <t>SECTION 4 – PERSONAL AFTER-TAX CONTRIBUTIONS</t>
  </si>
  <si>
    <t>Annual After-Tax Contributions ($)</t>
  </si>
  <si>
    <t>Non-concessional contributions. Must not exceed NCC cap</t>
  </si>
  <si>
    <t>Non-Concessional Cap ($)</t>
  </si>
  <si>
    <t>FY2025-26 NCC cap ($120,000). Bring-forward rule: up to $360,000 over 3 yrs</t>
  </si>
  <si>
    <t>After-Tax Contribution Escalation (%)</t>
  </si>
  <si>
    <t>Annual increase in personal after-tax contributions</t>
  </si>
  <si>
    <t>SECTION 5 – INVESTMENT RETURN ASSUMPTIONS</t>
  </si>
  <si>
    <t>Gross Investment Return (% p.a.)</t>
  </si>
  <si>
    <t>Long-run balanced option return. ASIC MoneySmart default: 7.0% – 8.0% p.a.</t>
  </si>
  <si>
    <t>Investment Option</t>
  </si>
  <si>
    <t>Options: Conservative / Balanced / Growth / High Growth / MySuper</t>
  </si>
  <si>
    <t>RBA target band: 2.0%–3.0%. Used to compute real (CPI-adjusted) returns</t>
  </si>
  <si>
    <t>SECTION 6 – FEES &amp; CHARGES</t>
  </si>
  <si>
    <t>Admin Fee ($ p.a.)</t>
  </si>
  <si>
    <t>Fixed annual administration fee charged by fund</t>
  </si>
  <si>
    <t>ICR / MER. APRA-regulated balanced funds avg ≈ 0.50%–0.85% p.a.</t>
  </si>
  <si>
    <t>Advice Fee ($ p.a.)</t>
  </si>
  <si>
    <t>Ongoing financial advice fee deducted from account (if applicable)</t>
  </si>
  <si>
    <t>Buy/Sell Spread (%)</t>
  </si>
  <si>
    <t>Transaction cost on contributions/withdrawals. Typical: 0.05%–0.20%</t>
  </si>
  <si>
    <t>SECTION 7 – INSURANCE PREMIUMS (deducted from super)</t>
  </si>
  <si>
    <t>Life Insurance Premium ($ p.a.)</t>
  </si>
  <si>
    <t>Death / Terminal Illness cover held inside super fund</t>
  </si>
  <si>
    <t>TPD Insurance Premium ($ p.a.)</t>
  </si>
  <si>
    <t>Total &amp; Permanent Disability cover inside super</t>
  </si>
  <si>
    <t>Income Protection Premium ($ p.a.)</t>
  </si>
  <si>
    <t>Income Protection (salary continuance) held inside super</t>
  </si>
  <si>
    <t>Insurance Premium Escalation (%)</t>
  </si>
  <si>
    <t>Annual increase in insurance premiums (age-based stepping)</t>
  </si>
  <si>
    <t>SECTION 8 – TAX PARAMETERS (ATO Legislative Rates)</t>
  </si>
  <si>
    <t>Contributions Tax Rate (%)</t>
  </si>
  <si>
    <t>Concessional contributions taxed at 15% inside fund (s.295-190 ITAA97)</t>
  </si>
  <si>
    <t>Earnings Tax Rate – Accumulation (%)</t>
  </si>
  <si>
    <t>Investment earnings taxed at 15% in accumulation phase (s.295-465)</t>
  </si>
  <si>
    <t>Earnings Tax Rate – Pension Phase (%)</t>
  </si>
  <si>
    <t>Investment earnings tax-free once in pension phase (s.295-385)</t>
  </si>
  <si>
    <t>Division 293 Threshold ($)</t>
  </si>
  <si>
    <t>High-income super charge: extra 15% tax if income + concessional contribs &gt; $250k</t>
  </si>
  <si>
    <t>Division 293 Surcharge (%)</t>
  </si>
  <si>
    <t>Additional 15% tax on concessional contributions for Div 293 individuals</t>
  </si>
  <si>
    <t>SECTION 9 – SALARY GROWTH &amp; PROJECTIONS</t>
  </si>
  <si>
    <t>Annual Salary Growth Rate (%)</t>
  </si>
  <si>
    <t>Nominal wage growth. ABS historical avg ≈ 3.0%–4.0% p.a.</t>
  </si>
  <si>
    <t>Transfer Balance Cap ($)</t>
  </si>
  <si>
    <t>FY2025-26 TBC: $1.9 million (indexed). Limits amount transferred to pension phase</t>
  </si>
  <si>
    <t>Low Income Super Tax Offset (LISTO) ($)</t>
  </si>
  <si>
    <t>Max $500 p.a. Government offset for low-income earners (income &lt; $37,000)</t>
  </si>
  <si>
    <t>NOTES &amp; DISCLAIMERS</t>
  </si>
  <si>
    <t>1. Blue cells are INPUT cells – change these to match your personal circumstances.</t>
  </si>
  <si>
    <t>2. This model uses ATO legislative parameters current as at 1 July 2025 (FY2025-26).</t>
  </si>
  <si>
    <t>3. Projections are ILLUSTRATIVE ONLY and do not constitute financial advice (s.766B Corporations Act 2001).</t>
  </si>
  <si>
    <t>4. Seek advice from a licensed financial adviser (AFS Licence holder) before making super decisions.</t>
  </si>
  <si>
    <t>5. Concessional contributions include employer SGC + salary sacrifice. Total must not exceed the concessional cap.</t>
  </si>
  <si>
    <t>6. The Transfer Balance Cap limits the amount that can be transferred to tax-free pension phase.</t>
  </si>
  <si>
    <t>7. APRA data: https://www.apra.gov.au  |  ATO: https://www.ato.gov.au/super</t>
  </si>
  <si>
    <t>SUPERANNUATION 30-YEAR PROJECTION  |  ATO-Compliant Model</t>
  </si>
  <si>
    <t>All figures in nominal (today's) dollars. Refer to Assumptions sheet to modify inputs. Real (inflation-adjusted) values shown in Real Returns sheet.</t>
  </si>
  <si>
    <t>Year
#</t>
  </si>
  <si>
    <t>Financial
Year</t>
  </si>
  <si>
    <t>Gross
Salary ($)</t>
  </si>
  <si>
    <t>SGC
Employer ($)</t>
  </si>
  <si>
    <t>Salary
Sacrifice ($)</t>
  </si>
  <si>
    <t>After-Tax
Contribs ($)</t>
  </si>
  <si>
    <t>Total
Contribs ($)</t>
  </si>
  <si>
    <t>Gross
Earnings ($)</t>
  </si>
  <si>
    <t>Contrib
Tax ($)</t>
  </si>
  <si>
    <t>Earnings
Tax ($)</t>
  </si>
  <si>
    <t>Total
Fees ($)</t>
  </si>
  <si>
    <t>Insurance
($)</t>
  </si>
  <si>
    <t>Net
Additions ($)</t>
  </si>
  <si>
    <t>30-YEAR TOTALS</t>
  </si>
  <si>
    <t>REAL (INFLATION-ADJUSTED) RETURNS  |  CPI-Adjusted Purchasing Power</t>
  </si>
  <si>
    <t>Real Return = (1 + Nominal Return) / (1 + Inflation) – 1  |  CPI Rate drawn from Assumptions!B22</t>
  </si>
  <si>
    <t>Year #</t>
  </si>
  <si>
    <t>FY</t>
  </si>
  <si>
    <t>Nominal Closing
Balance ($)</t>
  </si>
  <si>
    <t>CPI Deflator</t>
  </si>
  <si>
    <t>Real Closing
Balance ($)</t>
  </si>
  <si>
    <t>Real Net
Additions ($)</t>
  </si>
  <si>
    <t>Real Earnings ($)</t>
  </si>
  <si>
    <t>📊  SUPERANNUATION PROJECTION SUMMARY DASHBOARD</t>
  </si>
  <si>
    <t>Key metrics auto-calculated from Assumptions and Projection sheets</t>
  </si>
  <si>
    <t>KEY INPUTS SUMMARY</t>
  </si>
  <si>
    <t>Current Age</t>
  </si>
  <si>
    <t>Retirement Age</t>
  </si>
  <si>
    <t>Years to Retirement</t>
  </si>
  <si>
    <t>Starting Balance</t>
  </si>
  <si>
    <t>Current Gross Salary</t>
  </si>
  <si>
    <t>SGC Rate (current FY)</t>
  </si>
  <si>
    <t>Annual Salary Sacrifice</t>
  </si>
  <si>
    <t>Annual After-Tax Contribs</t>
  </si>
  <si>
    <t>Gross Investment Return</t>
  </si>
  <si>
    <t>Inflation Rate</t>
  </si>
  <si>
    <t>Real Investment Return</t>
  </si>
  <si>
    <t>Investment Mgmt Fee (ICR)</t>
  </si>
  <si>
    <t>30-YEAR PROJECTION OUTCOMES</t>
  </si>
  <si>
    <t>Projected Balance at Retirement ($)</t>
  </si>
  <si>
    <t>Real Balance at Retirement ($) – CPI Adjusted</t>
  </si>
  <si>
    <t>Total Employer SGC Contributions ($)</t>
  </si>
  <si>
    <t>Total Salary Sacrifice Contributions ($)</t>
  </si>
  <si>
    <t>Total After-Tax Personal Contributions ($)</t>
  </si>
  <si>
    <t>Total Contributions (All Sources) ($)</t>
  </si>
  <si>
    <t>Total Gross Investment Earnings ($)</t>
  </si>
  <si>
    <t>Total Contributions Tax Paid ($)</t>
  </si>
  <si>
    <t>Total Earnings Tax Paid ($)</t>
  </si>
  <si>
    <t>Total Fees Paid ($)</t>
  </si>
  <si>
    <t>Total Insurance Premiums Paid ($)</t>
  </si>
  <si>
    <t>RETIREMENT INCOME ESTIMATES</t>
  </si>
  <si>
    <t>Annual Drawdown – 4% Rule ($)</t>
  </si>
  <si>
    <t>Annual Drawdown – 5% Rule ($)</t>
  </si>
  <si>
    <t>Monthly Income – 4% Rule ($)</t>
  </si>
  <si>
    <t>Age Pension (Full) – Single (FY25-26, p.a.)</t>
  </si>
  <si>
    <t>ASFA Comfortable Retirement (Single, p.a.)</t>
  </si>
  <si>
    <t>ASFA Comfortable Retirement (Couple, p.a.)</t>
  </si>
  <si>
    <t>DISCLAIMER: This model is for educational and illustrative purposes only. It does not constitute financial product advice under the Corporations Act 2001 (Cth). Consult a licensed financial adviser (AFS Licence) before making superannuation decisions. Legislative parameters sourced from ATO.gov.au and APRA.gov.au as at 1 July 2025.</t>
  </si>
  <si>
    <t>Year</t>
  </si>
  <si>
    <t>Closing Balance</t>
  </si>
  <si>
    <t>Real Balance</t>
  </si>
  <si>
    <t>SGC</t>
  </si>
  <si>
    <t>Salary Sacrifice</t>
  </si>
  <si>
    <t>After-Tax Contribs</t>
  </si>
  <si>
    <t>Total Contribs</t>
  </si>
  <si>
    <t>Gross Earnings</t>
  </si>
  <si>
    <t>Contrib Tax</t>
  </si>
  <si>
    <t>Earnings Tax</t>
  </si>
  <si>
    <t>Fees</t>
  </si>
  <si>
    <t>Insurance</t>
  </si>
  <si>
    <t>Cumul Contribs</t>
  </si>
  <si>
    <t>Cumul Earnings</t>
  </si>
  <si>
    <t>🇦🇺  AGE PENSION, ASSETS TEST &amp; TAPER RATE CALCULATOR  |  DSS FY2025-26</t>
  </si>
  <si>
    <t>ATO-Compliant  ·  DSS Legislative Rates  ·  Services Australia FY2025-26  ·  Yellow cells = inputs  ·  Blue text = user-editable values</t>
  </si>
  <si>
    <t xml:space="preserve">  SECTION A — ASSETS TEST THRESHOLDS  (DSS, effective 1 July 2025)</t>
  </si>
  <si>
    <t xml:space="preserve">  SECTION B — INCOME TEST &amp; DEEMING RATES  (DSS / ATO FY2025-26)</t>
  </si>
  <si>
    <t xml:space="preserve">  SECTION C — PENSION ENTITLEMENT CALCULATOR</t>
  </si>
  <si>
    <t xml:space="preserve">  SECTION D — STRATEGIES TO MAXIMISE AGE PENSION ACCESS</t>
  </si>
  <si>
    <t>Asset Category</t>
  </si>
  <si>
    <t>Single
Homeowner ($)</t>
  </si>
  <si>
    <t>Single
Non-Homeowner ($)</t>
  </si>
  <si>
    <t>Couple (combined)
Homeowner ($)</t>
  </si>
  <si>
    <t>Couple (combined)
Non-Homeowner ($)</t>
  </si>
  <si>
    <t>Income Test Category</t>
  </si>
  <si>
    <t>Rate / Threshold ($)</t>
  </si>
  <si>
    <t>Your Personal Situation (INPUTS)</t>
  </si>
  <si>
    <t>Value (Change Yellow Cells)</t>
  </si>
  <si>
    <t>Strategy</t>
  </si>
  <si>
    <t>Potential Benefit</t>
  </si>
  <si>
    <t>LOWER THRESHOLDS (full pension cutoff starts)</t>
  </si>
  <si>
    <t>FREE AREA — FULL PENSION (annual)</t>
  </si>
  <si>
    <t>Your assessable assets ($)</t>
  </si>
  <si>
    <t>EXEMPT ASSET STRATEGIES</t>
  </si>
  <si>
    <t>Lower assets threshold</t>
  </si>
  <si>
    <t>Single — income free area</t>
  </si>
  <si>
    <t>Homeowner? (1=Yes, 0=No)</t>
  </si>
  <si>
    <t>1. Home renovations / improvements</t>
  </si>
  <si>
    <t>Home value exempt — spend on home reduces assessable assets</t>
  </si>
  <si>
    <t>UPPER THRESHOLDS (pension fully cuts out)</t>
  </si>
  <si>
    <t>Couple (combined) — income free area</t>
  </si>
  <si>
    <t>Single or Couple? (1=Single, 0=Couple)</t>
  </si>
  <si>
    <t>2. Pre-pay funeral (funeral bond up to $15,500)</t>
  </si>
  <si>
    <t>Funeral bonds up to $15,500 are exempt assets under SIS Act</t>
  </si>
  <si>
    <t>Upper assets threshold (full cutout)</t>
  </si>
  <si>
    <t>Total annual income (excl. deemed) ($)</t>
  </si>
  <si>
    <t>3. Pre-pay aged care accommodation bond (RAD)</t>
  </si>
  <si>
    <t>Refundable Accommodation Deposit is exempt; reduces assets</t>
  </si>
  <si>
    <t>PENSION REDUCTION RATE</t>
  </si>
  <si>
    <t>Age Pension — full single rate ($ p.a.)</t>
  </si>
  <si>
    <t>4. Lifetime/Pooled lifetime income streams</t>
  </si>
  <si>
    <t>Only 60% of purchase price counts as asset after age 65</t>
  </si>
  <si>
    <t>TAPER RATE</t>
  </si>
  <si>
    <t>Pension reduces by $0.50 per $1 of income over free area</t>
  </si>
  <si>
    <t>Age Pension — full couple rate ($ p.a.)</t>
  </si>
  <si>
    <t>Pension reduces by $3 per fortnight for every $1,000 of assets above lower threshold</t>
  </si>
  <si>
    <t>Single — full cutout income (approx.)</t>
  </si>
  <si>
    <t>GIFTING RULES</t>
  </si>
  <si>
    <t>Equivalent annual taper</t>
  </si>
  <si>
    <t>$78 per year per $1,000 above threshold = 7.8% p.a. effective taper</t>
  </si>
  <si>
    <t>Couple — full cutout income (approx.)</t>
  </si>
  <si>
    <t>ASSETS TEST CALCULATIONS</t>
  </si>
  <si>
    <t>5. Gifting within limits ($10,000/yr, $30,000 over 5 yrs)</t>
  </si>
  <si>
    <t>Gifts within limits reduce assessable assets immediately</t>
  </si>
  <si>
    <t>Applicable lower threshold ($)</t>
  </si>
  <si>
    <t xml:space="preserve">  ⚠ Excess gifts assessed for 5 years (deprivation rules)</t>
  </si>
  <si>
    <t>Gifts above limits deprivation-assessed for 5 years (s.1106A)</t>
  </si>
  <si>
    <t>HOME OWNERSHIP — VALUE NOT COUNTED IN ASSETS TEST</t>
  </si>
  <si>
    <t>DEEMING RATES (financial assets)</t>
  </si>
  <si>
    <t>Applicable upper threshold ($)</t>
  </si>
  <si>
    <t>Principal home: fully exempt from assets test</t>
  </si>
  <si>
    <t>EXEMPT</t>
  </si>
  <si>
    <t>N/A</t>
  </si>
  <si>
    <t>Lower deeming rate (below threshold)</t>
  </si>
  <si>
    <t>0.25%</t>
  </si>
  <si>
    <t>Assets above lower threshold ($)</t>
  </si>
  <si>
    <t>SUPER STRUCTURING</t>
  </si>
  <si>
    <t>Proceeds from home sale (up to 24 months exemption)</t>
  </si>
  <si>
    <t>Up to 24 mths</t>
  </si>
  <si>
    <t>Higher deeming rate (above threshold)</t>
  </si>
  <si>
    <t>2.25%</t>
  </si>
  <si>
    <t>Annual pension reduction – assets test ($)</t>
  </si>
  <si>
    <t>6. Spouse super contributions (younger spouse &lt; pension age)</t>
  </si>
  <si>
    <t>Super of under-pension-age spouse is EXEMPT from assets test</t>
  </si>
  <si>
    <t>Deeming threshold — single</t>
  </si>
  <si>
    <t>Pension entitlement – assets test ($)</t>
  </si>
  <si>
    <t>7. Delay commencing ABP until pension age</t>
  </si>
  <si>
    <t>Super in accumulation phase of under-67 partner is exempt</t>
  </si>
  <si>
    <t>Deeming threshold — couple (combined)</t>
  </si>
  <si>
    <t>INCOME TEST CALCULATIONS</t>
  </si>
  <si>
    <t>8. Re-contribution strategy (wash out taxable component)</t>
  </si>
  <si>
    <t>Reduces tax on super death benefits; no pension impact</t>
  </si>
  <si>
    <t>Deeming threshold (single/couple) ($)</t>
  </si>
  <si>
    <t>DEEMED INCOME NOTE</t>
  </si>
  <si>
    <t>Deemed income from assets ($)</t>
  </si>
  <si>
    <t>INCOME STRUCTURING</t>
  </si>
  <si>
    <t>Super in pension phase is deemed (not actual income)</t>
  </si>
  <si>
    <t>Total assessable income (incl. deemed) ($)</t>
  </si>
  <si>
    <t>9. Salary sacrifice to super before retirement</t>
  </si>
  <si>
    <t>Reduces assessable income; boosts super out of assets test pre-67</t>
  </si>
  <si>
    <t>Deemed income = 0.25% on first threshold + 2.25% above</t>
  </si>
  <si>
    <t>Income free area — annual ($)</t>
  </si>
  <si>
    <t>10. Draw from super tax-free rather than earning income</t>
  </si>
  <si>
    <t>ABP payments not assessed as income (only deemed income tested)</t>
  </si>
  <si>
    <t>Income above free area ($)</t>
  </si>
  <si>
    <t>11. Term deposits vs shares (deeming advantage)</t>
  </si>
  <si>
    <t>All financial assets deemed at same rate regardless of actual return</t>
  </si>
  <si>
    <t>Annual pension reduction – income test ($)</t>
  </si>
  <si>
    <t>Pension entitlement – income test ($)</t>
  </si>
  <si>
    <t>PROPERTY &amp; LIFESTYLE</t>
  </si>
  <si>
    <t>COMBINED RESULT</t>
  </si>
  <si>
    <t>12. Downsize — use surplus to buy a better principal home</t>
  </si>
  <si>
    <t>Downsizer contribution ($300k per person) boosts super; home exempt</t>
  </si>
  <si>
    <t>ACTUAL PENSION PAYABLE (lower of both tests) ($)</t>
  </si>
  <si>
    <t>13. Granny flat arrangements (legal agreement required)</t>
  </si>
  <si>
    <t>Can transfer assets to family; must be properly documented</t>
  </si>
  <si>
    <t>Combined retirement income (pension + other) ($)</t>
  </si>
  <si>
    <t>⚠  IMPORTANT NOTE</t>
  </si>
  <si>
    <t>All strategies must be assessed by a licensed AFS adviser.</t>
  </si>
  <si>
    <t>Source: DSS Guide to Social Security Law; Services Australia</t>
  </si>
  <si>
    <t xml:space="preserve">  SECTION E — AGE PENSION + SUPER DRAWDOWN COMBINED ANNUAL INCOME PROJECTION  (age 65→100)</t>
  </si>
  <si>
    <t>Yr</t>
  </si>
  <si>
    <t>Super Balance
(Scen A ABP) ($)</t>
  </si>
  <si>
    <t>ABP Drawdown
(ATO Min) ($)</t>
  </si>
  <si>
    <t>Assessable
Assets ($)</t>
  </si>
  <si>
    <t>Deemed
Income ($)</t>
  </si>
  <si>
    <t>Assets Test
Pension ($)</t>
  </si>
  <si>
    <t>Income Test
Pension ($)</t>
  </si>
  <si>
    <t>ACTUAL PENSION
PAYABLE ($)</t>
  </si>
  <si>
    <t>TOTAL INCOME
(Drawdown + Pension) ($)</t>
  </si>
  <si>
    <t>Real Total Income
(CPI-adj) ($)</t>
  </si>
  <si>
    <t xml:space="preserve">  INCOME CHART — Annual Drawdown vs Age Pension vs Total Income (age 65–100)</t>
  </si>
  <si>
    <t>DISCLAIMER &amp; SOURCES: Age Pension rates, assets test thresholds and deeming rates are as at 1 July 2025 (FY2025-26). Source: Services Australia, DSS Guide to Social Security Law, ATO.gov.au. These rates are indexed and change each March and September. This calculator is for educational purposes only and does not constitute financial product advice (Corporations Act 2001 s.766B). Seek advice from a licensed AFS adviser before implementing any Age Pension strategy. All ABP income is deemed; actual ABP drawdowns are NOT counted as assessable income for the income test.</t>
  </si>
  <si>
    <t>🇦🇺  SUPERANNUATION TAX CALCULATOR  |  Concessional Tax, Division 293, Div 296 &amp; Pension Phase</t>
  </si>
  <si>
    <t>ATO FY2025-26  ·  ITAA97  ·  Treasury Laws Amendment (Better Targeted Super) Bill 2023  ·  Yellow cells = inputs you can change</t>
  </si>
  <si>
    <t xml:space="preserve">  SECTION A — MARGINAL TAX RATE vs 15% CONCESSIONAL RATE: SAVINGS CALCULATOR</t>
  </si>
  <si>
    <t xml:space="preserve">  SECTION B — DIVISION 293 TAX CALCULATOR  (extra 15% for high earners)</t>
  </si>
  <si>
    <t xml:space="preserve">  SECTION C — DIV 296: PROPOSED 30% EARNINGS TAX (BALANCES &gt; $3M)</t>
  </si>
  <si>
    <t xml:space="preserve">  SECTION D — TAX-FREE EARNINGS IN PENSION PHASE (s.295-385 ITAA97)</t>
  </si>
  <si>
    <t>Income / Tax Bracket</t>
  </si>
  <si>
    <t>Marginal Tax
Rate (incl. Medicare)</t>
  </si>
  <si>
    <t>Concessional
Super Tax Rate</t>
  </si>
  <si>
    <t>Tax Saving
per $ Contributed</t>
  </si>
  <si>
    <t>Tax Saving on
$30,000 Contrib ($)</t>
  </si>
  <si>
    <t>Effective After-Tax
Cost of $30k ($)</t>
  </si>
  <si>
    <t>Division 293 — Parameter</t>
  </si>
  <si>
    <t>Value</t>
  </si>
  <si>
    <t>Your Scenario</t>
  </si>
  <si>
    <t>Division 296 — Parameter / Scenario</t>
  </si>
  <si>
    <t>Current Law
(pre-Div 296)</t>
  </si>
  <si>
    <t>Proposed Div 296
(from 1 Jul 2025)</t>
  </si>
  <si>
    <t>Pension Phase Tax Analysis</t>
  </si>
  <si>
    <t>Amount ($)</t>
  </si>
  <si>
    <t>ATO TAX BRACKETS — FY2025-26</t>
  </si>
  <si>
    <t>LEGISLATIVE PARAMETERS (ATO ITAA97 s.293-5)</t>
  </si>
  <si>
    <t>LEGISLATIVE BACKGROUND</t>
  </si>
  <si>
    <t>Treasury Laws Amendment (Better Targeted Super) Bill 2023</t>
  </si>
  <si>
    <t>TAX RATES BY PHASE</t>
  </si>
  <si>
    <t>$0 – $18,200  (tax-free threshold)</t>
  </si>
  <si>
    <t>Division 293 income threshold ($)</t>
  </si>
  <si>
    <t>S.293-5 ITAA97 — extra 15% on concessional contributions</t>
  </si>
  <si>
    <t>Bill status</t>
  </si>
  <si>
    <t>Check ato.gov.au for latest status</t>
  </si>
  <si>
    <t>Accumulation phase — earnings tax rate</t>
  </si>
  <si>
    <t>S.295-465 ITAA97 — 15% on fund earnings in accumulation</t>
  </si>
  <si>
    <t>$18,201 – $45,000</t>
  </si>
  <si>
    <t>Division 293 surcharge rate (%)</t>
  </si>
  <si>
    <t>Indexed annually (currently $250,000)</t>
  </si>
  <si>
    <t>Effective date</t>
  </si>
  <si>
    <t>"From 1 Jul 2025"</t>
  </si>
  <si>
    <t>Applies to earnings from 1 Jul 2025 onwards</t>
  </si>
  <si>
    <t>Pension phase — earnings tax rate</t>
  </si>
  <si>
    <t>S.295-385 ITAA97 — ZERO tax on earnings once ABP commenced</t>
  </si>
  <si>
    <t>$45,001 – $135,000 (middle bracket)</t>
  </si>
  <si>
    <t>Standard concessional tax rate (%)</t>
  </si>
  <si>
    <t>Applies to concessional contributions incl. employer SGC + salary sacrifice</t>
  </si>
  <si>
    <t>Earnings tax rate — balances ≤ $3M (%)</t>
  </si>
  <si>
    <t>No change for balances under $3M</t>
  </si>
  <si>
    <t>Tax saving per $1 of pension earnings</t>
  </si>
  <si>
    <t>Benefit of commencing ABP</t>
  </si>
  <si>
    <t>$120,001 – $135,000 (transition)</t>
  </si>
  <si>
    <t>Effective concessional rate with Div 293 (%)</t>
  </si>
  <si>
    <t>15% concessional rate applies inside the fund</t>
  </si>
  <si>
    <t>Earnings tax rate — balance portion &gt; $3M (%)</t>
  </si>
  <si>
    <t>Extra 15% applied to proportional earnings above $3M</t>
  </si>
  <si>
    <t>$135,001 – $190,000</t>
  </si>
  <si>
    <t>30% total — same as top company tax rate</t>
  </si>
  <si>
    <t>Threshold ($)</t>
  </si>
  <si>
    <t>NOT indexed — will capture more members over time via bracket creep</t>
  </si>
  <si>
    <t>YOUR PENSION PHASE TAX SAVING CALCULATOR</t>
  </si>
  <si>
    <t>Above $190,000 (top marginal rate)</t>
  </si>
  <si>
    <t>YOUR DIV 293 CALCULATION</t>
  </si>
  <si>
    <t>Pension account balance ($)  ← input</t>
  </si>
  <si>
    <t>← Change this yellow input</t>
  </si>
  <si>
    <t>DIV 293 EARNERS (income + concess. &gt; $250k)</t>
  </si>
  <si>
    <t>Your income (links to Section A input) ($)</t>
  </si>
  <si>
    <t>YOUR DIV 296 CALCULATOR</t>
  </si>
  <si>
    <t>Change the yellow input cells below</t>
  </si>
  <si>
    <t>Annual investment return (%) ← input</t>
  </si>
  <si>
    <t>$250,001+ — Div 293 applies (extra 15%)</t>
  </si>
  <si>
    <t>Your concessional contributions ($)</t>
  </si>
  <si>
    <t>Links from Section A input (change yellow cell B18)</t>
  </si>
  <si>
    <t>Your total super balance ($)</t>
  </si>
  <si>
    <t>← Change this yellow input cell</t>
  </si>
  <si>
    <t>Years in pension phase  ← input</t>
  </si>
  <si>
    <t>← Change this yellow input (e.g. 25 years from age 67 to 92)</t>
  </si>
  <si>
    <t>Effective super tax rate with Div 293</t>
  </si>
  <si>
    <t>Division 293 income (income + concess.) ($)</t>
  </si>
  <si>
    <t>Links from Section A input (change yellow cell B19)</t>
  </si>
  <si>
    <t>Annual investment return (%)</t>
  </si>
  <si>
    <t>Div 293 threshold ($)</t>
  </si>
  <si>
    <t>If &gt; $250k threshold, Div 293 applies to the lower of: excess or contributions</t>
  </si>
  <si>
    <t>CALCULATED OUTPUTS</t>
  </si>
  <si>
    <t xml:space="preserve">  YOUR PERSONAL CONCESSIONAL TAX SAVING CALCULATOR</t>
  </si>
  <si>
    <t>Amount subject to Div 293 ($)</t>
  </si>
  <si>
    <t>Annual gross investment earnings ($)</t>
  </si>
  <si>
    <t>Your annual gross salary / taxable income ($)</t>
  </si>
  <si>
    <t>← Change this yellow cell</t>
  </si>
  <si>
    <t>Div 293 tax payable ($)</t>
  </si>
  <si>
    <t>Total investment earnings ($)</t>
  </si>
  <si>
    <t>Tax saved (per year) — vs accumulation ($)</t>
  </si>
  <si>
    <t>Annual concessional contribution amount ($)</t>
  </si>
  <si>
    <t>Total concessional tax (15% + Div 293) ($)</t>
  </si>
  <si>
    <t>ATO collects via assessment notice or voluntary release authority</t>
  </si>
  <si>
    <t>(balance − $3M) / balance</t>
  </si>
  <si>
    <t>Total tax saved over pension phase (nominal) ($)</t>
  </si>
  <si>
    <t>Your marginal tax rate (auto-calculated, ATO FY2025-26)</t>
  </si>
  <si>
    <t>Incl. 2% Medicare Levy  |  Source: ATO tax tables FY2025-26</t>
  </si>
  <si>
    <t>Effective concessional tax rate (%)</t>
  </si>
  <si>
    <t>Compound value of tax savings (FV at return rate) ($)</t>
  </si>
  <si>
    <t>FV of annual tax savings invested at the same return rate</t>
  </si>
  <si>
    <t>Tax saving rate (marginal rate − 15%)</t>
  </si>
  <si>
    <t>Tax at 15% (current law) ($)</t>
  </si>
  <si>
    <t>Equivalent extra years of income the tax saving provides</t>
  </si>
  <si>
    <t>Annual concessional tax saving ($)</t>
  </si>
  <si>
    <t>IMPACT ON TAX SAVING</t>
  </si>
  <si>
    <t>Additional Div 296 tax ($)</t>
  </si>
  <si>
    <t>earnings on excess × 15%</t>
  </si>
  <si>
    <t>Tax saving over 30 years (nominal, no compounding) ($)</t>
  </si>
  <si>
    <t>Tax saving without Div 293 ($)</t>
  </si>
  <si>
    <t>Total earnings tax under Div 296 ($)</t>
  </si>
  <si>
    <t>ACCUMULATION vs PENSION — 30-YEAR COMPARISON</t>
  </si>
  <si>
    <t>Div 293 tax payable (if income + concess. contributions &gt; $250k)? ($)</t>
  </si>
  <si>
    <t>Tax saving WITH Div 293 applied (illustrative, $)</t>
  </si>
  <si>
    <t>Extra annual tax cost ($)</t>
  </si>
  <si>
    <t>Balance at end of 30 yrs — ACCUMULATION phase ($)</t>
  </si>
  <si>
    <t>Same balance, same return, but 15% earnings tax applied each year</t>
  </si>
  <si>
    <t>NET annual tax saving after Div 293 ($)</t>
  </si>
  <si>
    <t>Div 293 cost per year ($)</t>
  </si>
  <si>
    <t>Extra cost over 10 years ($)</t>
  </si>
  <si>
    <t>Balance at end of 30 yrs — PENSION phase ($)</t>
  </si>
  <si>
    <t>Tax-free compounding — no 15% drag on earnings</t>
  </si>
  <si>
    <t>Div 293 cost over 30 years ($)</t>
  </si>
  <si>
    <t>Difference (pension advantage) ($)</t>
  </si>
  <si>
    <t>NOTE: DIV 296 TAX APPLIES TO UNREALISED GAINS</t>
  </si>
  <si>
    <t>Unlike most taxes — applies to NOTIONAL earnings, not just realised gains</t>
  </si>
  <si>
    <t>Pension advantage as % of accumulation balance (%)</t>
  </si>
  <si>
    <t xml:space="preserve">  SECTION E — 30-YEAR TAX COMPARISON ACROSS INCOME SCENARIOS</t>
  </si>
  <si>
    <t>Members with illiquid assets (property, unlisted) face cash-flow issues</t>
  </si>
  <si>
    <t>SMSF trustees with property may need to sell assets to fund the tax</t>
  </si>
  <si>
    <t>Tax Metric (30-year, $30k contrib/yr)</t>
  </si>
  <si>
    <t>$60,000 income
(MTR 34%)</t>
  </si>
  <si>
    <t>$95,000 income
(MTR 34%)</t>
  </si>
  <si>
    <t>$160,000 income
(MTR 41%)</t>
  </si>
  <si>
    <t>$300,000+ income
(MTR 47% + Div293)</t>
  </si>
  <si>
    <t>Pension Phase Metric</t>
  </si>
  <si>
    <t>$300k bal @ 6%
30 yrs Accum</t>
  </si>
  <si>
    <t>$300k bal @ 6%
30 yrs Pension</t>
  </si>
  <si>
    <t>$600k bal @ 6%
30 yrs Accum</t>
  </si>
  <si>
    <t>$600k bal @ 6%
30 yrs Pension</t>
  </si>
  <si>
    <t>CONCESSIONAL CONTRIBUTIONS ($30,000/yr)</t>
  </si>
  <si>
    <t>PENSION PHASE EARNINGS TAX COMPARISON</t>
  </si>
  <si>
    <t>Marginal Tax Rate (incl. Medicare)</t>
  </si>
  <si>
    <t>Opening balance ($)</t>
  </si>
  <si>
    <t>Annual tax saving vs no-super</t>
  </si>
  <si>
    <t>Annual return (%)</t>
  </si>
  <si>
    <t>Division 293 tax payable ($/yr)</t>
  </si>
  <si>
    <t>Earnings tax rate (%)</t>
  </si>
  <si>
    <t>Net annual tax saving ($)</t>
  </si>
  <si>
    <t>After-tax annual return (%)</t>
  </si>
  <si>
    <t>30-YEAR CUMULATIVE TAX SAVINGS</t>
  </si>
  <si>
    <t>Balance after 30 years ($)</t>
  </si>
  <si>
    <t>Total concessional tax savings (30 yrs) ($)</t>
  </si>
  <si>
    <t>Total Div 293 paid (30 yrs) ($)</t>
  </si>
  <si>
    <t>Net 30-yr tax saving ($)</t>
  </si>
  <si>
    <t>DISCLAIMER &amp; SOURCES: ATO income tax rates and Medicare Levy: ato.gov.au/tax-rates FY2025-26. Division 293 — s.293-5 ITAA97; threshold $250,000 (income + concessional contributions). Division 296 — Treasury Laws Amendment (Better Targeted Super) Bill 2023; Royal Assent status: check ato.gov.au. Pension phase earnings tax exemption — s.295-385 ITAA97. This calculator is for educational purposes only and does not constitute financial product advice (Corporations Act 2001 s.766B). Seek advice from a licensed AFS adviser.</t>
  </si>
  <si>
    <t xml:space="preserve">  TAX SAVING CHART — Annual Concessional Tax Saving vs Div 293 Cost by Income Level</t>
  </si>
  <si>
    <t>⚖️  SUPERANNUATION DEATH BENEFITS &amp; ESTATE PLANNING  |  SIS Act · ITAA97 · ATO FY2025-26</t>
  </si>
  <si>
    <t>Nominations  ·  Dependant Eligibility  ·  Death Benefit Tax  ·  Reversionary Beneficiaries  ·  Re-contribution Strategy  ·  Estate Planning Checklist</t>
  </si>
  <si>
    <t xml:space="preserve">  SECTION A — NOMINATION TYPES: BINDING vs NON-BINDING vs REVERSIONARY vs LPR</t>
  </si>
  <si>
    <t xml:space="preserve">  SECTION B — WHO CAN RECEIVE SUPER: SIS Act "Dependant" vs Tax "Dependant"</t>
  </si>
  <si>
    <t xml:space="preserve">  SECTION E — STRATEGIES TO REDUCE DEATH BENEFIT TAX LIABILITY</t>
  </si>
  <si>
    <t xml:space="preserve">  SECTION F — ESTATE PLANNING ACTION CHECKLIST</t>
  </si>
  <si>
    <t xml:space="preserve">  KEY LEGISLATIVE REFERENCES</t>
  </si>
  <si>
    <t>Feature / Criterion</t>
  </si>
  <si>
    <t>🔴 NON-BINDING
Nomination</t>
  </si>
  <si>
    <t>🟢 BINDING
Death Benefit Nom.</t>
  </si>
  <si>
    <t>🔵 REVERSIONARY
Beneficiary</t>
  </si>
  <si>
    <t>⚫ LPR — Legal
Personal Rep.</t>
  </si>
  <si>
    <t>Relationship to Deceased</t>
  </si>
  <si>
    <t>SIS Dependant?
(can receive benefit)</t>
  </si>
  <si>
    <t>Tax Dependant?
(tax-free receipt)</t>
  </si>
  <si>
    <t>Death Benefit Tax Rate
(on taxable component)</t>
  </si>
  <si>
    <t>How It Works</t>
  </si>
  <si>
    <t>Tax Saving Potential</t>
  </si>
  <si>
    <t>Action Item</t>
  </si>
  <si>
    <t>Status / Notes</t>
  </si>
  <si>
    <t>Priority / Trigger</t>
  </si>
  <si>
    <t>LEGAL STANDING</t>
  </si>
  <si>
    <t>SIS ACT "DEPENDANT" — s.10 SIS Act definition</t>
  </si>
  <si>
    <t>STRATEGY 1 — RE-CONTRIBUTION (most powerful)</t>
  </si>
  <si>
    <t>NOMINATIONS</t>
  </si>
  <si>
    <t>BINDING NOMINATIONS</t>
  </si>
  <si>
    <t>Trustee discretion applies?</t>
  </si>
  <si>
    <t>✅ Yes — trustee decides</t>
  </si>
  <si>
    <t>❌ No — trustee must pay</t>
  </si>
  <si>
    <t>❌ No — automatic</t>
  </si>
  <si>
    <t>⚠ Partial — executor distributes</t>
  </si>
  <si>
    <t>Spouse / de facto partner</t>
  </si>
  <si>
    <t>✅ Always</t>
  </si>
  <si>
    <t>Tax-FREE (0%)</t>
  </si>
  <si>
    <t>Re-contribution strategy</t>
  </si>
  <si>
    <t>Withdraw tax-free funds from super and re-contribute as non-concessional (after-tax). Converts "taxable component" into "tax-free component".</t>
  </si>
  <si>
    <t>Can reduce taxable component from 70-100% down to near 0%, eliminating the 17% death benefit tax entirely for adult children.</t>
  </si>
  <si>
    <t>Review / update BDBN (expires every 3 years)</t>
  </si>
  <si>
    <t>🔴 HIGH — expires automatically</t>
  </si>
  <si>
    <t>s.59 SIS Act — trustee discretion and BDBN</t>
  </si>
  <si>
    <t>Super covered by your Will?</t>
  </si>
  <si>
    <t>❌ No</t>
  </si>
  <si>
    <t>✅ Yes (if LPR nominated)</t>
  </si>
  <si>
    <t>Former spouse (if financially dependent)</t>
  </si>
  <si>
    <t>✅ Yes</t>
  </si>
  <si>
    <t>⚠ Only if financial dep.</t>
  </si>
  <si>
    <t>0% if tax-dep. else 15-30%</t>
  </si>
  <si>
    <t>Eligibility requirements</t>
  </si>
  <si>
    <t>Must be under age 75. Must meet work test (ages 67-74) or be under 67. Subject to NCC cap ($120k p.a. or $360k bring-forward). Total super balance must be &lt; $1.9M.</t>
  </si>
  <si>
    <t>Each $100k re-contributed saves $17,000 in death benefit tax (15% + 2% Medicare on taxable component)</t>
  </si>
  <si>
    <t>Set up reversionary beneficiary (if married)</t>
  </si>
  <si>
    <t>🔴 HIGH — one-time set-up</t>
  </si>
  <si>
    <t>Reg 6.17A SISR — BDBN requirements and 3-year validity</t>
  </si>
  <si>
    <t>Legal force</t>
  </si>
  <si>
    <t>Guideline only</t>
  </si>
  <si>
    <t>Legally binding (s.59 SIS Act)</t>
  </si>
  <si>
    <t>Pension document</t>
  </si>
  <si>
    <t>Through estate — Will controls</t>
  </si>
  <si>
    <t>Child under 18</t>
  </si>
  <si>
    <t>Worked example</t>
  </si>
  <si>
    <t>Member aged 60 has $600k super (80% taxable component = $480k taxable). Withdraws $300k tax-free (pension phase). Re-contributes $300k as NCC. New balance: $600k with 30% taxable component instead of 80%.</t>
  </si>
  <si>
    <t>Tax saving for adult child: ($480k - $180k) × 17% = $51,000 saved</t>
  </si>
  <si>
    <t>Ensure BDBN covers accumulation account</t>
  </si>
  <si>
    <t>🟠 MEDIUM</t>
  </si>
  <si>
    <t>s.10(1) SIS Act — definition of "dependant"</t>
  </si>
  <si>
    <t>Applies to</t>
  </si>
  <si>
    <t>Accumulation &amp; pension accounts</t>
  </si>
  <si>
    <t>Pension accounts ONLY</t>
  </si>
  <si>
    <t>Adult child (18+) — NOT financially dependent</t>
  </si>
  <si>
    <t>✅ Yes (SIS only)</t>
  </si>
  <si>
    <t>15% + 2% Medicare on taxable</t>
  </si>
  <si>
    <t>STRATEGY 2 — PENSION PHASE CONVERSION</t>
  </si>
  <si>
    <t>Ensure reversionary covers pension account</t>
  </si>
  <si>
    <t>🔴 HIGH</t>
  </si>
  <si>
    <t>ELIGIBILITY &amp; RECIPIENTS</t>
  </si>
  <si>
    <t>Adult child — financially dependent on deceased</t>
  </si>
  <si>
    <t>Commence ABP before death</t>
  </si>
  <si>
    <t>Pension phase earnings are TAX-FREE. Tax-free component of an ABP grows proportionally, gradually improving the ratio over time.</t>
  </si>
  <si>
    <t>Over 15-20 years in pension phase, tax-free proportion increases through tax-free earnings compounding</t>
  </si>
  <si>
    <t>Review after major life events (divorce, remarriage)</t>
  </si>
  <si>
    <t>🔴 HIGH — do immediately</t>
  </si>
  <si>
    <t>DEATH BENEFIT TAX</t>
  </si>
  <si>
    <t>Who can be nominated?</t>
  </si>
  <si>
    <t>Dependants + LPR</t>
  </si>
  <si>
    <t>Spouse / de facto ONLY</t>
  </si>
  <si>
    <t>Your estate (executor)</t>
  </si>
  <si>
    <t>Interdependency relationship</t>
  </si>
  <si>
    <t>Pension commutation and re-contribution</t>
  </si>
  <si>
    <t>Commute ABP to lump sum, withdraw, re-contribute as NCC (if eligible). Resets the tax-free percentage upward.</t>
  </si>
  <si>
    <t>As per re-contribution strategy above — most effective in 60s</t>
  </si>
  <si>
    <t>WILL &amp; ESTATE</t>
  </si>
  <si>
    <t>s.302-60 ITAA97 — tax on death benefit to non-dependant</t>
  </si>
  <si>
    <t>Can nominate adult children?</t>
  </si>
  <si>
    <t>✅ Yes (dependant test)</t>
  </si>
  <si>
    <t>✅ Yes (if financially dependant)</t>
  </si>
  <si>
    <t>❌ No — spouse only</t>
  </si>
  <si>
    <t>✅ Yes (via Will)</t>
  </si>
  <si>
    <t>Financial dependant (any person)</t>
  </si>
  <si>
    <t>STRATEGY 3 — SPOUSE SPLITTING</t>
  </si>
  <si>
    <t>Review Will — ensure LPR nomination aligns with Will</t>
  </si>
  <si>
    <t>🟠 MEDIUM — review every 3 years</t>
  </si>
  <si>
    <t>s.302-195 ITAA97 — definition of "death benefit dependant"</t>
  </si>
  <si>
    <t>Can nominate a company or trust?</t>
  </si>
  <si>
    <t>✅ Yes (via Will/testamentary trust)</t>
  </si>
  <si>
    <t>Non-dependant adult (e.g. adult sibling)</t>
  </si>
  <si>
    <t>❌ Cannot receive directly</t>
  </si>
  <si>
    <t>Must pass through estate</t>
  </si>
  <si>
    <t>Super splitting to spouse</t>
  </si>
  <si>
    <t>Transfer up to 85% of concessional contributions each year to spouse's fund. Equalises balances between partners.</t>
  </si>
  <si>
    <t>(1) Reduces estate of higher-balance partner. (2) Maximises both partners' individual TBC allowances. (3) Reduces death benefit tax if spouse is younger and will inherit.</t>
  </si>
  <si>
    <t>Consider testamentary trust if large estate (&gt;$1M)</t>
  </si>
  <si>
    <t>🟠 MEDIUM — discuss with lawyer</t>
  </si>
  <si>
    <t>s.307-210 ITAA97 — tax components (taxable / tax-free)</t>
  </si>
  <si>
    <t>PROCESS &amp; MAINTENANCE</t>
  </si>
  <si>
    <t>Unrelated person</t>
  </si>
  <si>
    <t>STRATEGY 4 — TESTAMENTARY TRUST</t>
  </si>
  <si>
    <t>Confirm super does NOT automatically go to estate</t>
  </si>
  <si>
    <t>🔴 HIGH — super bypasses Will</t>
  </si>
  <si>
    <t>s.295-385 ITAA97 — tax-free pension phase earnings</t>
  </si>
  <si>
    <t>Expiry / renewal required?</t>
  </si>
  <si>
    <t>No expiry</t>
  </si>
  <si>
    <t>3 years (must be renewed)</t>
  </si>
  <si>
    <t>ESTATE / LPR ROUTE — if paid to legal personal representative</t>
  </si>
  <si>
    <t>Route super via estate to testamentary trust</t>
  </si>
  <si>
    <t>Nominate LPR to pay super to estate. Structure Will to direct funds into a testamentary trust. Beneficiaries (incl. minor grandchildren) taxed at marginal rates — BUT minors in a testamentary trust are taxed at adult rates (not penalty rates).</t>
  </si>
  <si>
    <t>For large super balances with multiple non-dependant beneficiaries, a testamentary trust can spread tax across lower-rate beneficiaries.</t>
  </si>
  <si>
    <t>TAX MINIMISATION</t>
  </si>
  <si>
    <t>When does it take effect?</t>
  </si>
  <si>
    <t>After trustee review</t>
  </si>
  <si>
    <t>Immediately on death</t>
  </si>
  <si>
    <t>After probate (weeks–months)</t>
  </si>
  <si>
    <t>Passes to spouse via Will</t>
  </si>
  <si>
    <t>Via estate</t>
  </si>
  <si>
    <t>Tax-FREE if tax-dep. spouse</t>
  </si>
  <si>
    <t>STRATEGY 5 — BINDING NOMINATION TO SPOUSE FIRST</t>
  </si>
  <si>
    <t>Calculate current taxable vs tax-free component split</t>
  </si>
  <si>
    <t>🟢 LOW — annual review</t>
  </si>
  <si>
    <t>REVERSIONARY BENEFICIARY</t>
  </si>
  <si>
    <t>Can be updated anytime?</t>
  </si>
  <si>
    <t>✅ Yes — simple form</t>
  </si>
  <si>
    <t>✅ Yes — witnessed form</t>
  </si>
  <si>
    <t>⚠ Requires fund consent</t>
  </si>
  <si>
    <t>✅ Yes — update your Will</t>
  </si>
  <si>
    <t>Passes to adult children via Will</t>
  </si>
  <si>
    <t>Non-dependant</t>
  </si>
  <si>
    <t>BDBN to spouse → spouse re-contributes</t>
  </si>
  <si>
    <t>Leave all super to spouse (tax-free). Spouse then uses their own NCC cap to re-contribute funds (converted to tax-free) before ultimately passing to adult children via their own estate.</t>
  </si>
  <si>
    <t>Defers tax event. Spouse can re-contribute up to $360k over 3 years. Each $100k re-contributed by spouse saves $17,000 for next generation.</t>
  </si>
  <si>
    <t>Model re-contribution strategy (if adult children)</t>
  </si>
  <si>
    <t>🔴 HIGH if balance &gt; $300k and adult children</t>
  </si>
  <si>
    <t>s.305-25 ITAA97 — tax on reversionary pension</t>
  </si>
  <si>
    <t>Witnesses required?</t>
  </si>
  <si>
    <t>✅ Yes — 2 adult witnesses</t>
  </si>
  <si>
    <t>✅ Yes — fund form</t>
  </si>
  <si>
    <t>N/A (Will requires witnesses)</t>
  </si>
  <si>
    <t>Passes to testamentary trust via Will</t>
  </si>
  <si>
    <t>Trust beneficiaries assessed</t>
  </si>
  <si>
    <t>Depends on trust beneficiaries</t>
  </si>
  <si>
    <t>⚠ KEY TIMING RULES</t>
  </si>
  <si>
    <t>Consider spouse contribution splitting</t>
  </si>
  <si>
    <t>🟠 MEDIUM — each year before 30 Jun</t>
  </si>
  <si>
    <t>SIS Act s.59A — death benefit income streams</t>
  </si>
  <si>
    <t>TAX IMPLICATIONS</t>
  </si>
  <si>
    <t>TAX COMPONENT DEFINITIONS (ITAA97 s.307-210)</t>
  </si>
  <si>
    <t>Re-contribution — age window</t>
  </si>
  <si>
    <t>Optimal window: ages 60-66 (no work test, pension phase, below caps). After age 75: cannot make non-concessional contributions. After age 67 and before 75: work test must be satisfied.</t>
  </si>
  <si>
    <t>⚠ Strategy becomes unavailable if left too late. Seek advice BEFORE reaching age 67-75.</t>
  </si>
  <si>
    <t>Review strategy if approaching age 67 (work test)</t>
  </si>
  <si>
    <t>🔴 HIGH — window closes at 75</t>
  </si>
  <si>
    <t>ATO Transfer Balance Cap rules — TR 2017/D1</t>
  </si>
  <si>
    <t>Tax-free to recipient?</t>
  </si>
  <si>
    <t>If tax-dependant</t>
  </si>
  <si>
    <t>✅ Yes — spouse is tax-dependant</t>
  </si>
  <si>
    <t>Depends on Will beneficiaries</t>
  </si>
  <si>
    <t>Tax-free component</t>
  </si>
  <si>
    <t>Non-concessional (after-tax) contributions</t>
  </si>
  <si>
    <t>Always 0% tax</t>
  </si>
  <si>
    <t>Tax-FREE for all recipients</t>
  </si>
  <si>
    <t>TBC must not be breached</t>
  </si>
  <si>
    <t>Re-contribution cannot occur if total super balance ≥ $1.9M. Withdraw BEFORE re-contributing. Monitor balance during strategy.</t>
  </si>
  <si>
    <t>⚠ Exceeding TBC creates excess transfer balance — ATO issues excess transfer balance determination.</t>
  </si>
  <si>
    <t>Review strategy if approaching age 75 (NCC cut-off)</t>
  </si>
  <si>
    <t>🔴 URGENT if aged 70+</t>
  </si>
  <si>
    <t>Adult children — tax position</t>
  </si>
  <si>
    <t>⚠ 15-30% on taxable component</t>
  </si>
  <si>
    <t>N/A (must be spouse)</t>
  </si>
  <si>
    <t>Taxable component — taxed element</t>
  </si>
  <si>
    <t>Concessional contribs + fund earnings</t>
  </si>
  <si>
    <t>0% for tax-dep.</t>
  </si>
  <si>
    <t>15% + 2% Medicare for non-dep.</t>
  </si>
  <si>
    <t>MUST SEEK PROFESSIONAL ADVICE</t>
  </si>
  <si>
    <t>TRANSFER BALANCE CAP</t>
  </si>
  <si>
    <t>RE-CONTRIBUTION STRATEGY</t>
  </si>
  <si>
    <t>Cashed as lump sum or pension?</t>
  </si>
  <si>
    <t>Lump sum or pension (trustee decides)</t>
  </si>
  <si>
    <t>Lump sum or pension (you specify)</t>
  </si>
  <si>
    <t>Continues as pension</t>
  </si>
  <si>
    <t>Lump sum only (estate)</t>
  </si>
  <si>
    <t>Taxable component — untaxed element</t>
  </si>
  <si>
    <t>Certain defined benefit / govt schemes</t>
  </si>
  <si>
    <t>30% + 2% Medicare for non-dep.</t>
  </si>
  <si>
    <t>These are complex strategies</t>
  </si>
  <si>
    <t>All re-contribution, testamentary trust, and spousal strategies require personalised advice from a licensed AFS adviser and tax specialist. Errors can be irreversible and costly.</t>
  </si>
  <si>
    <t>Source: s.302-60 ITAA97 (death benefits tax); s.307-210 ITAA97 (components); SIS Act s.59 (binding nominations)</t>
  </si>
  <si>
    <t>Check both partners' TBC space if reversionary</t>
  </si>
  <si>
    <t>🔴 HIGH if pension &gt; $1M</t>
  </si>
  <si>
    <t>s.292-25 ITAA97 — non-concessional contributions cap</t>
  </si>
  <si>
    <t>RISK PROFILE</t>
  </si>
  <si>
    <t>Plan for TBC grace period (12 months post-death)</t>
  </si>
  <si>
    <t>🟠 MEDIUM — document plan</t>
  </si>
  <si>
    <t>s.292-85 ITAA97 — bring-forward rule (3-year NCC)</t>
  </si>
  <si>
    <t>Main risk</t>
  </si>
  <si>
    <t>⚠ Trustee may not follow wishes</t>
  </si>
  <si>
    <t>⚠ Lapses if not renewed every 3 yrs</t>
  </si>
  <si>
    <t>⚠ Reversionary spouse taxed on TBC</t>
  </si>
  <si>
    <t>⚠ Estate creditors can access funds</t>
  </si>
  <si>
    <t>PROFESSIONAL REVIEW</t>
  </si>
  <si>
    <t>s.292-80 ITAA97 — work test age 67-74</t>
  </si>
  <si>
    <t>Challenge risk</t>
  </si>
  <si>
    <t>High — legal challenges possible</t>
  </si>
  <si>
    <t>Low — legally binding</t>
  </si>
  <si>
    <t>Moderate — through estate</t>
  </si>
  <si>
    <t xml:space="preserve">  SECTION D — REVERSIONARY BENEFICIARY: RULES, PROS, CONS &amp; TRANSFER BALANCE CAP</t>
  </si>
  <si>
    <t>Book annual super &amp; estate planning review</t>
  </si>
  <si>
    <t>🟢 ANNUAL — July or after Budget</t>
  </si>
  <si>
    <t>RECOMMENDATION</t>
  </si>
  <si>
    <t>Reversionary Beneficiary — Key Detail</t>
  </si>
  <si>
    <t>Rule / Value</t>
  </si>
  <si>
    <t>Practical Impact</t>
  </si>
  <si>
    <t>Action Required</t>
  </si>
  <si>
    <t>Engage licensed AFS adviser for re-contribution strategy</t>
  </si>
  <si>
    <t>🔴 HIGH before proceeding</t>
  </si>
  <si>
    <t>KEY ATO SOURCES</t>
  </si>
  <si>
    <t>Best for</t>
  </si>
  <si>
    <t>Simple situations where flexibility is valued</t>
  </si>
  <si>
    <t>Most people — certainty of outcome</t>
  </si>
  <si>
    <t>Couples wanting pension to continue to spouse</t>
  </si>
  <si>
    <t>Complex estates, trusts, business interests</t>
  </si>
  <si>
    <t>WHAT IS A REVERSIONARY BENEFICIARY?</t>
  </si>
  <si>
    <t>Brief executor about super nominations and accounts</t>
  </si>
  <si>
    <t>🟠 MEDIUM — document locations</t>
  </si>
  <si>
    <t>ato.gov.au — Paying super after death</t>
  </si>
  <si>
    <t>Definition</t>
  </si>
  <si>
    <t>A nominated person who automatically continues receiving the pension on your death</t>
  </si>
  <si>
    <t>No trustee discretion — pension continues seamlessly</t>
  </si>
  <si>
    <t>Nominate in pension commencement document or deed</t>
  </si>
  <si>
    <t>ato.gov.au — Taxable and tax-free components</t>
  </si>
  <si>
    <t>Spouse / de facto partner ONLY (or financially-dependent child)</t>
  </si>
  <si>
    <t>Cannot nominate adult children as reversionary</t>
  </si>
  <si>
    <t>Consider BDBN alongside reversionary for adult children</t>
  </si>
  <si>
    <t>moneysmart.gov.au — Super and death</t>
  </si>
  <si>
    <t xml:space="preserve">  SECTION C — DEATH BENEFIT TAX CALCULATOR  (ITAA97 Div 302 · ATO FY2025-26)</t>
  </si>
  <si>
    <t>Does it override a BDBN?</t>
  </si>
  <si>
    <t>Yes — reversionary takes precedence over a BDBN for pension phase</t>
  </si>
  <si>
    <t>BDBN covers accumulation; reversionary covers pension phase</t>
  </si>
  <si>
    <t>Review both nominations together as a package</t>
  </si>
  <si>
    <t>Tax Calculator — Inputs &amp; Outputs</t>
  </si>
  <si>
    <t>👫 Spouse
(Tax Dependant)</t>
  </si>
  <si>
    <t>👶 Child &lt; 18
(Tax Dependant)</t>
  </si>
  <si>
    <t>👨 Adult Child
(Non-Dependant)</t>
  </si>
  <si>
    <t>🏛 Estate → Adult
Child via Will</t>
  </si>
  <si>
    <t>TAX TREATMENT — REVERSIONARY</t>
  </si>
  <si>
    <t>Total super death benefit ($)</t>
  </si>
  <si>
    <t>Tax to receiving spouse</t>
  </si>
  <si>
    <t>Tax-FREE — spouse is always a tax dependant</t>
  </si>
  <si>
    <t>No tax on lump sum or pension continuation</t>
  </si>
  <si>
    <t>Confirm spouse is "tax dependant" (s.302-195 ITAA97)</t>
  </si>
  <si>
    <t>Tax-free component % (of total)</t>
  </si>
  <si>
    <t>Tax-free earnings continue?</t>
  </si>
  <si>
    <t>Yes — pension phase earnings remain tax-free</t>
  </si>
  <si>
    <t>Fund earnings on reversionary pension: 0% tax</t>
  </si>
  <si>
    <t>Significant benefit — up to 100% of TBC can continue</t>
  </si>
  <si>
    <t>Taxable component — taxed element %</t>
  </si>
  <si>
    <t>TRANSFER BALANCE CAP (TBC) — CRITICAL ISSUE</t>
  </si>
  <si>
    <t>Taxable component — untaxed element %</t>
  </si>
  <si>
    <t>TBC threshold FY2025-26</t>
  </si>
  <si>
    <t>$1,900,000 per person</t>
  </si>
  <si>
    <t>Reversionary pension counted in RECIPIENT's TBC after 12-month delay</t>
  </si>
  <si>
    <t>Check recipient's available TBC BEFORE death</t>
  </si>
  <si>
    <t>Medicare Levy (death benefits) (%)</t>
  </si>
  <si>
    <t>12-month TBC grace period</t>
  </si>
  <si>
    <t>Recipient has 12 months to commute (cash out) excess above their TBC</t>
  </si>
  <si>
    <t>If recipient already has $1.9M in pension, excess MUST be cashed out</t>
  </si>
  <si>
    <t>Financial adviser must model TBC impact immediately</t>
  </si>
  <si>
    <t>⚠ Component sum check (must = 100%)</t>
  </si>
  <si>
    <t>TBC credit timing</t>
  </si>
  <si>
    <t>Full reversionary pension value credited at date of death (with 12-month delay)</t>
  </si>
  <si>
    <t>Value at date of death used — not the value 12 months later</t>
  </si>
  <si>
    <t>Review annually as pension grows, plan ahead</t>
  </si>
  <si>
    <t>ADMINISTRATION ADVANTAGES</t>
  </si>
  <si>
    <t>CALCULATED TAX OUTCOMES</t>
  </si>
  <si>
    <t>Probate/estate bypass?</t>
  </si>
  <si>
    <t>Yes — bypasses estate entirely</t>
  </si>
  <si>
    <t>No probate, no executor delays, no estate creditors</t>
  </si>
  <si>
    <t>Nominated in fund documents, not your Will</t>
  </si>
  <si>
    <t>Tax-free component ($)</t>
  </si>
  <si>
    <t>Timing of payment</t>
  </si>
  <si>
    <t>Spouse receives pension payment without delay</t>
  </si>
  <si>
    <t>Fund notified via death certificate</t>
  </si>
  <si>
    <t>Taxable — taxed element ($)</t>
  </si>
  <si>
    <t>Investment strategy control</t>
  </si>
  <si>
    <t>Spouse takes full control of investment option</t>
  </si>
  <si>
    <t>Can switch to more conservative option if desired</t>
  </si>
  <si>
    <t>Review investment strategy during 12-month TBC window</t>
  </si>
  <si>
    <t>Taxable — untaxed element ($)</t>
  </si>
  <si>
    <t>COMPARISON TO BDBN</t>
  </si>
  <si>
    <t>Tax on taxable taxed element ($)</t>
  </si>
  <si>
    <t>Best combination strategy</t>
  </si>
  <si>
    <t>Reversionary for pension phase + BDBN for accumulation accounts</t>
  </si>
  <si>
    <t>Maximum coverage across all account types</t>
  </si>
  <si>
    <t>Both should be reviewed together every 3 years</t>
  </si>
  <si>
    <t>Tax on taxable untaxed element ($)</t>
  </si>
  <si>
    <t>If BDBN is binding but no reversionary</t>
  </si>
  <si>
    <t>BDBN triggers on death — trustee must pay per BDBN</t>
  </si>
  <si>
    <t>Pension cashed out as lump sum per BDBN, not continued</t>
  </si>
  <si>
    <t>Consider if spouse prefers lump sum vs continuing pension</t>
  </si>
  <si>
    <t>Medicare levy on taxable ($)</t>
  </si>
  <si>
    <t>TOTAL TAX WITHHELD ($)</t>
  </si>
  <si>
    <t>NET BENEFIT RECEIVED ($)</t>
  </si>
  <si>
    <t>Effective tax rate (%)</t>
  </si>
  <si>
    <t xml:space="preserve">  DEATH BENEFIT TAX COMPARISON CHART — by Recipient Type</t>
  </si>
  <si>
    <t>Spouse</t>
  </si>
  <si>
    <t>Child&lt;18</t>
  </si>
  <si>
    <t>Adult Child</t>
  </si>
  <si>
    <t>Estate→Adult</t>
  </si>
  <si>
    <t>DISCLAIMER &amp; SOURCES: Death benefit tax rates under ITAA97 Div 302 and s.307-210. Binding nomination rules: s.59 SIS Act and Reg 6.17A SISR. Transfer Balance Cap FY2025-26: $1,900,000 (ATO). Re-contribution strategy parameters: s.292-25 and s.292-85 ITAA97. This sheet is for educational purposes only and does not constitute financial product advice (Corporations Act 2001 s.766B) or legal advice. Death benefit nominations have irreversible legal consequences. Seek advice from a licensed AFS adviser AND estate planning solicitor before acting. Source: ATO.gov.au, ato.gov.au/super, hudsonfinancialplanning.com.au</t>
  </si>
  <si>
    <t>🏠  SELF-MANAGED SUPER FUND (SMSF) GUIDE  |  ATO · ASIC · SIS Act FY2025-26</t>
  </si>
  <si>
    <t>Setup &amp; Compliance  ·  Cost-Effectiveness Calculator  ·  LRBA Property Borrowing  ·  Annual Obligations  ·  Penalties &amp; Prohibited Transactions</t>
  </si>
  <si>
    <t xml:space="preserve">  SECTION A — SMSF vs APRA-REGULATED FUND: WHEN DOES AN SMSF MAKE SENSE?</t>
  </si>
  <si>
    <t xml:space="preserve">  SECTION B — SMSF SETUP COSTS &amp; ANNUAL COMPLIANCE OBLIGATIONS</t>
  </si>
  <si>
    <t xml:space="preserve">  SECTION E — SMSF ANNUAL COMPLIANCE CALENDAR &amp; KEY DEADLINES</t>
  </si>
  <si>
    <t xml:space="preserve">  SECTION F — ATO PENALTIES &amp; PROHIBITED TRANSACTIONS REFERENCE</t>
  </si>
  <si>
    <t xml:space="preserve">  KEY SOURCES</t>
  </si>
  <si>
    <t>Decision Criterion</t>
  </si>
  <si>
    <t>🏦 LARGE APRA FUND
(Industry / Retail)</t>
  </si>
  <si>
    <t>🏠 SMSF
(1–6 Members)</t>
  </si>
  <si>
    <t>⚖️ SMSF ADVANTAGE?
(vs APRA)</t>
  </si>
  <si>
    <t>⚠️ SMSF RISK /
Consideration</t>
  </si>
  <si>
    <t>Cost / Obligation</t>
  </si>
  <si>
    <t>One-Off
Setup Cost ($)</t>
  </si>
  <si>
    <t>Annual
Recurring Cost ($)</t>
  </si>
  <si>
    <t>Notes &amp; ATO Reference</t>
  </si>
  <si>
    <t>Deadline / Period</t>
  </si>
  <si>
    <t>Required Action</t>
  </si>
  <si>
    <t>Penalty for Failure</t>
  </si>
  <si>
    <t>Rule / Prohibition</t>
  </si>
  <si>
    <t>Penalty / Consequence</t>
  </si>
  <si>
    <t>SIS Act Reference</t>
  </si>
  <si>
    <t>COST &amp; FEES</t>
  </si>
  <si>
    <t>SETUP COSTS (one-off)</t>
  </si>
  <si>
    <t>DURING THE FINANCIAL YEAR (1 Jul – 30 Jun)</t>
  </si>
  <si>
    <t>PROHIBITED TRANSACTIONS</t>
  </si>
  <si>
    <t>ATO SMSF KEY SOURCES</t>
  </si>
  <si>
    <t>Annual running cost (typical)</t>
  </si>
  <si>
    <t>$0–$700 p.a. (often nil for large balances)</t>
  </si>
  <si>
    <t>$3,500–$7,000 p.a. (accounting + audit + ASIC + ATO)</t>
  </si>
  <si>
    <t>APRA wins below ~$500k</t>
  </si>
  <si>
    <t>Fixed costs are high relative to small balances</t>
  </si>
  <si>
    <t>SMSF trust deed preparation (solicitor)</t>
  </si>
  <si>
    <t>$1,500–$3,000</t>
  </si>
  <si>
    <t>Must be prepared by qualified legal practitioner. Corporate trustee deed extra.</t>
  </si>
  <si>
    <t>Throughout year</t>
  </si>
  <si>
    <t>Maintain trustee minutes for ALL investment decisions, pension commencments, contribution acceptances</t>
  </si>
  <si>
    <t>Non-compliance: $18,780 civil penalty per breach (SIS Act s.166)</t>
  </si>
  <si>
    <t>In-house assets exceed 5% of fund value</t>
  </si>
  <si>
    <t>Trustee must reduce to under 5% by year end. Breach: civil penalty $18,780</t>
  </si>
  <si>
    <t>s.71 &amp; s.82 SIS Act — in-house asset limit 5% of fund value</t>
  </si>
  <si>
    <t>ato.gov.au/smsf — main SMSF hub</t>
  </si>
  <si>
    <t>Investment management fee (ICR)</t>
  </si>
  <si>
    <t>0.40%–0.85% p.a. of balance</t>
  </si>
  <si>
    <t>0% ICR — you manage directly</t>
  </si>
  <si>
    <t>SMSF wins above ~$500k (ICR saving &gt; fixed cost)</t>
  </si>
  <si>
    <t>Self-management requires time, skill, and knowledge</t>
  </si>
  <si>
    <t>ABN &amp; TFN registration (ATO)</t>
  </si>
  <si>
    <t>$0 (free)</t>
  </si>
  <si>
    <t>Apply online via ATO — no fee. Allow 28 days.</t>
  </si>
  <si>
    <t>Ongoing</t>
  </si>
  <si>
    <t>Ensure contributions do not exceed caps: concessional $30k, NCC $120k</t>
  </si>
  <si>
    <t>Excess contributions: additional tax + ACS charge (ATO s.292-15)</t>
  </si>
  <si>
    <t>Acquiring asset from related party (residential)</t>
  </si>
  <si>
    <t>Transaction void; non-complying status possible; ATO prosecution</t>
  </si>
  <si>
    <t>s.66 SIS Act — acquisition of assets from related parties prohibited</t>
  </si>
  <si>
    <t>ato.gov.au/smsf-auditors — find registered auditor</t>
  </si>
  <si>
    <t>Break-even balance (approximate)</t>
  </si>
  <si>
    <t>No fixed cost threshold</t>
  </si>
  <si>
    <t>~$200k–$500k (ATO / Rice Warner research)</t>
  </si>
  <si>
    <t>SMSF cost-competitive above $500k</t>
  </si>
  <si>
    <t>Below $200k: SMSF is typically not cost-effective</t>
  </si>
  <si>
    <t>Corporate trustee setup (recommended)</t>
  </si>
  <si>
    <t>$500–$1,500</t>
  </si>
  <si>
    <t>ASIC company registration fee ~$538. Ongoing ASIC annual review fee ~$63. Corporate trustee protects personal assets.</t>
  </si>
  <si>
    <t>Monitor investments meet "sole purpose test" (s.62 SIS Act)</t>
  </si>
  <si>
    <t>Non-compliance: loss of tax-exempt status; fund made non-complying</t>
  </si>
  <si>
    <t>Using SMSF assets for personal benefit</t>
  </si>
  <si>
    <t>Non-complying status: fund taxed at 45% on all income and assets</t>
  </si>
  <si>
    <t>s.62 SIS Act — sole purpose test</t>
  </si>
  <si>
    <t>SMSF Annual Return — ATO NAT 71226</t>
  </si>
  <si>
    <t>CONTROL &amp; FLEXIBILITY</t>
  </si>
  <si>
    <t>Opening bank account &amp; brokerage</t>
  </si>
  <si>
    <t>$0–$200</t>
  </si>
  <si>
    <t>Dedicated SMSF bank account required. Cannot mix personal funds.</t>
  </si>
  <si>
    <t>Before 30 June</t>
  </si>
  <si>
    <t>Review and document investment strategy (Reg 4.09)</t>
  </si>
  <si>
    <t>ATO may issue penalty and audit fund if strategy not maintained</t>
  </si>
  <si>
    <t>Lending money to members or relatives</t>
  </si>
  <si>
    <t>Civil penalty $18,780 per breach; trustee disqualification</t>
  </si>
  <si>
    <t>s.65 SIS Act — prohibition on financial assistance</t>
  </si>
  <si>
    <t>Trustee Declaration — ATO NAT 71089</t>
  </si>
  <si>
    <t>Investment choice</t>
  </si>
  <si>
    <t>Pre-set options only (Conservative/Balanced/Growth/ESG)</t>
  </si>
  <si>
    <t>Unlimited: direct shares, property, gold, crypto*, bonds, LRBAs</t>
  </si>
  <si>
    <t>SMSF: full investment control</t>
  </si>
  <si>
    <t>*Crypto regulations evolving; crypto must meet SIS Act rules</t>
  </si>
  <si>
    <t>Investment strategy document</t>
  </si>
  <si>
    <t>$0–$800</t>
  </si>
  <si>
    <t>Can be prepared by adviser or DIY. Must cover risk, return, diversification, liquidity.</t>
  </si>
  <si>
    <t>Make minimum pension drawdowns for all pension accounts</t>
  </si>
  <si>
    <t>Pension ceases to be exempt — taxed as accumulation for that year</t>
  </si>
  <si>
    <t>Providing financial assistance to members</t>
  </si>
  <si>
    <t>Civil penalty up to $18,780; trustee disqualification</t>
  </si>
  <si>
    <t>s.65 SIS Act</t>
  </si>
  <si>
    <t>ATO SMSF statistical report 2024</t>
  </si>
  <si>
    <t>Direct property investment</t>
  </si>
  <si>
    <t>❌ Cannot hold direct residential or commercial property</t>
  </si>
  <si>
    <t>✅ Can own commercial property (arm's length) and residential via LRBA</t>
  </si>
  <si>
    <t>SMSF: unique ability to hold business real property</t>
  </si>
  <si>
    <t>Property is illiquid; must meet sole purpose test</t>
  </si>
  <si>
    <t>Financial planner / adviser setup fee</t>
  </si>
  <si>
    <t>$2,000–$5,000</t>
  </si>
  <si>
    <t>Optional but recommended. Covers SOA, SMSF establishment advice.</t>
  </si>
  <si>
    <t>Check transfer balance cap — ensure no member exceeds $1.9M</t>
  </si>
  <si>
    <t>Excess TBC: 15% tax on excess earnings (ATO determination issued)</t>
  </si>
  <si>
    <t>LRBA breach (e.g., recourse to other assets)</t>
  </si>
  <si>
    <t>ATO may unwind LRBA; penalties; non-complying status</t>
  </si>
  <si>
    <t>s.67A-67B SIS Act — LRBA conditions</t>
  </si>
  <si>
    <t>Timing of transactions</t>
  </si>
  <si>
    <t>Daily unit pricing; switches may take days</t>
  </si>
  <si>
    <t>✅ Instant — trustee controls timing</t>
  </si>
  <si>
    <t>SMSF: tax year-end planning flexibility</t>
  </si>
  <si>
    <t>Trustee errors have no fund safety net</t>
  </si>
  <si>
    <t>TOTAL SETUP COST (typical range)</t>
  </si>
  <si>
    <t>$4,000–$10,500</t>
  </si>
  <si>
    <t>Source: ATO SMSF statistical report 2024; Rice Warner SMSF cost research</t>
  </si>
  <si>
    <t>POST YEAR-END (Jul – Oct)</t>
  </si>
  <si>
    <t>PENALTY SCALE (SIS Act breaches)</t>
  </si>
  <si>
    <t>SIS ACT REFERENCES</t>
  </si>
  <si>
    <t>Pension commencement</t>
  </si>
  <si>
    <t>Fund commences pension automatically per schedule</t>
  </si>
  <si>
    <t>✅ Trustees choose exact timing for tax optimisation</t>
  </si>
  <si>
    <t>SMSF: can time pension to maximise TBC benefits</t>
  </si>
  <si>
    <t>Must document trustee resolutions for each decision</t>
  </si>
  <si>
    <t>ANNUAL RECURRING COSTS</t>
  </si>
  <si>
    <t>By 31 July (or ASAP)</t>
  </si>
  <si>
    <t>Appoint registered SMSF auditor for completed financial year</t>
  </si>
  <si>
    <t>s.35C SIS Act — auditor must be appointed before SAR lodgement</t>
  </si>
  <si>
    <t>Administrative penalty (per breach)</t>
  </si>
  <si>
    <t>Currently $18,780 per breach (indexed annually)</t>
  </si>
  <si>
    <t>s.166 SIS Act — 60 penalty units × $313 (FY2025-26)</t>
  </si>
  <si>
    <t>s.10 — "Dependant" definition</t>
  </si>
  <si>
    <t>REGULATORY BURDEN</t>
  </si>
  <si>
    <t>ATO SMSF supervisory levy</t>
  </si>
  <si>
    <t>$259</t>
  </si>
  <si>
    <t>Payable with annual return. Source: ITAR 1997 s.388-1</t>
  </si>
  <si>
    <t>By 31 July</t>
  </si>
  <si>
    <t>Provide financial statements to auditor: member accounts, income statement, balance sheet</t>
  </si>
  <si>
    <t>Audit delay causes SAR lodgement delay — ATO late fees apply</t>
  </si>
  <si>
    <t>Disqualified person becoming trustee</t>
  </si>
  <si>
    <t>Criminal penalty up to $22,200 or 2 years imprisonment</t>
  </si>
  <si>
    <t>s.126K SIS Act — disqualified person acting as trustee</t>
  </si>
  <si>
    <t>s.62 — Sole purpose test</t>
  </si>
  <si>
    <t>Regulatory oversight</t>
  </si>
  <si>
    <t>APRA-regulated — fund managed by professional trustee</t>
  </si>
  <si>
    <t>ATO-regulated — trustees are personally responsible</t>
  </si>
  <si>
    <t>APRA: professional management; no personal liability</t>
  </si>
  <si>
    <t>ATO can disqualify trustees; civil penalties up to $18,780/breach</t>
  </si>
  <si>
    <t>ASIC annual review fee (corporate trustee)</t>
  </si>
  <si>
    <t>$63</t>
  </si>
  <si>
    <t>Annual review fee for proprietary companies (ASIC fee schedule FY25-26)</t>
  </si>
  <si>
    <t>By 31 October (or 15 May if tax agent)</t>
  </si>
  <si>
    <t>📋 LODGE SMSF ANNUAL RETURN (SAR) with ATO</t>
  </si>
  <si>
    <t>⚠ FAILURE TO LODGE: $1,110 penalty per 28-day period (FTL penalty). ATO can make fund non-complying.</t>
  </si>
  <si>
    <t>Non-complying fund — income tax rate</t>
  </si>
  <si>
    <t>45% tax on ALL income AND assets of the fund (not just 15%)</t>
  </si>
  <si>
    <t>s.295-675 ITAA97 — non-complying superannuation fund tax rate</t>
  </si>
  <si>
    <t>s.65 — Financial assistance prohibition</t>
  </si>
  <si>
    <t>Annual compliance</t>
  </si>
  <si>
    <t>Fund handles all compliance</t>
  </si>
  <si>
    <t>Trustees must: lodge SMSF annual return, engage approved auditor</t>
  </si>
  <si>
    <t>APRA: zero trustee admin</t>
  </si>
  <si>
    <t>Missing audit or lodgement triggers ATO enforcement</t>
  </si>
  <si>
    <t>Approved SMSF auditor</t>
  </si>
  <si>
    <t>$500–$2,500</t>
  </si>
  <si>
    <t>MANDATORY — registered SMSF auditor required (s.35C SIS Act). ATO can disqualify if audit not completed.</t>
  </si>
  <si>
    <t>By 31 October</t>
  </si>
  <si>
    <t>Pay ATO SMSF supervisory levy ($259)</t>
  </si>
  <si>
    <t>Included in annual return. Penalty for non-payment: GIC + interest</t>
  </si>
  <si>
    <t>Failure to lodge SAR on time</t>
  </si>
  <si>
    <t>$1,110 per 28-day period (up to $5,550 max per obligation)</t>
  </si>
  <si>
    <t>TAA 1953 s.286-80 — failure to lodge on time penalty</t>
  </si>
  <si>
    <t>s.66 — Related party acquisitions</t>
  </si>
  <si>
    <t>✅ Default Death, TPD, IP insurance included</t>
  </si>
  <si>
    <t>⚠ Trustees must arrange and pay for insurance separately</t>
  </si>
  <si>
    <t>APRA: automatic default cover</t>
  </si>
  <si>
    <t>SMSF members often underinsured — must actively arrange cover</t>
  </si>
  <si>
    <t>Accountant / tax agent fees</t>
  </si>
  <si>
    <t>$1,500–$4,000</t>
  </si>
  <si>
    <t>Prepare financial statements, member accounts, SMSF annual return. Licensed tax agent or SMSF specialist required for lodgement.</t>
  </si>
  <si>
    <t>By 31 October (if required)</t>
  </si>
  <si>
    <t>Obtain actuarial certificate (if mixed accumulation + pension members)</t>
  </si>
  <si>
    <t>Without certificate, ECPI claim invalid — fund taxed on all earnings</t>
  </si>
  <si>
    <t>TRUSTEE DISQUALIFICATION</t>
  </si>
  <si>
    <t>s.67A-67B — LRBA conditions</t>
  </si>
  <si>
    <t>MEMBER RULES</t>
  </si>
  <si>
    <t>SMSF administration software</t>
  </si>
  <si>
    <t>BGL Simple Fund, Class Super, Mclowd etc. Some accountants include in fee.</t>
  </si>
  <si>
    <t>ONGOING TRUSTEE RESPONSIBILITIES</t>
  </si>
  <si>
    <t>Grounds for ATO disqualification</t>
  </si>
  <si>
    <t>Convicted of dishonesty offence; insolvent; SIS Act breach; ATO determination</t>
  </si>
  <si>
    <t>s.120 SIS Act — disqualified persons definition</t>
  </si>
  <si>
    <t>s.71 — In-house asset rules</t>
  </si>
  <si>
    <t>Maximum members</t>
  </si>
  <si>
    <t>Unlimited members</t>
  </si>
  <si>
    <t>1–6 members (max 6 from 1 Jul 2021)</t>
  </si>
  <si>
    <t>SMSF: suitable for families up to 6 members</t>
  </si>
  <si>
    <t>If member count falls to 0, SMSF must wind up</t>
  </si>
  <si>
    <t>Legal / deed update costs</t>
  </si>
  <si>
    <t>Trust deed may need updating for legislative changes (e.g., TBC changes, pension rules).</t>
  </si>
  <si>
    <t>Within 28 days of change</t>
  </si>
  <si>
    <t>Notify ATO of trustee changes, fund wind-up, or changes to fund details</t>
  </si>
  <si>
    <t>Civil penalty up to $18,780 for late or non-notification</t>
  </si>
  <si>
    <t>Effect of disqualification</t>
  </si>
  <si>
    <t>Cannot be trustee of ANY super fund. Must notify ATO within 28 days. Fund must appoint new trustee or wind up.</t>
  </si>
  <si>
    <t>s.126A SIS Act — effect of disqualification notice</t>
  </si>
  <si>
    <t>s.120 — Trustee disqualification</t>
  </si>
  <si>
    <t>Who can be a trustee?</t>
  </si>
  <si>
    <t>Corporate trustee (professional)</t>
  </si>
  <si>
    <t>Individual trustees OR single corporate trustee
(all members must be trustees)</t>
  </si>
  <si>
    <t>SMSF: family governance model</t>
  </si>
  <si>
    <t>Disqualified persons (ATO list) cannot be trustees</t>
  </si>
  <si>
    <t>Financial adviser ongoing fee (if used)</t>
  </si>
  <si>
    <t>Ongoing investment advice, member strategy, annual review.</t>
  </si>
  <si>
    <t>Within 30 days of appointment</t>
  </si>
  <si>
    <t>New trustees must sign Trustee Declaration (ATO NAT 71089)</t>
  </si>
  <si>
    <t>Non-signing trustee: $8,850 penalty. Fund may be flagged for audit.</t>
  </si>
  <si>
    <t>WIND-UP OBLIGATIONS</t>
  </si>
  <si>
    <t>s.166 — Administrative penalties</t>
  </si>
  <si>
    <t>Minimum balance to establish</t>
  </si>
  <si>
    <t>No legal minimum, but ATO recommends $200k+</t>
  </si>
  <si>
    <t>APRA: accessible at any balance</t>
  </si>
  <si>
    <t>Rice Warner/ASIC: &lt;$200k SMSF likely cost-negative</t>
  </si>
  <si>
    <t>Insurance premiums (held in SMSF)</t>
  </si>
  <si>
    <t>$500–$5,000+</t>
  </si>
  <si>
    <t>Life, TPD, IP — must be arranged separately. Premiums vary significantly by member age/health.</t>
  </si>
  <si>
    <t>Annually</t>
  </si>
  <si>
    <t>Review BDBN if lapsing (every 3 years unless deed allows non-lapsing)</t>
  </si>
  <si>
    <t>Lapsed BDBN = trustee discretion applies — intended beneficiary may miss out</t>
  </si>
  <si>
    <t>Circumstances requiring wind-up</t>
  </si>
  <si>
    <t>Member dies (if sole member); disqualification; fund decision; member request</t>
  </si>
  <si>
    <t>Trust deed and s.130C SIS Act</t>
  </si>
  <si>
    <t>ESTATE PLANNING</t>
  </si>
  <si>
    <t>TOTAL ANNUAL COST (no adviser)</t>
  </si>
  <si>
    <t>$2,822–$9,122</t>
  </si>
  <si>
    <t>ATO/Rice Warner estimate. Excludes investment costs and adviser fees.</t>
  </si>
  <si>
    <t>Review life insurance held in SMSF — ensure adequate cover for all members</t>
  </si>
  <si>
    <t>Underinsurance: trustees may face claims from dependants</t>
  </si>
  <si>
    <t>Roll-over on wind-up</t>
  </si>
  <si>
    <t>Benefits must be rolled to APRA fund or taken as benefit. Complete transfer of assets — no partial wind-up.</t>
  </si>
  <si>
    <t>SIS Reg 6.21A — roll-over on fund wind-up</t>
  </si>
  <si>
    <t>RESEARCH &amp; COST DATA</t>
  </si>
  <si>
    <t>Binding death benefit nomination</t>
  </si>
  <si>
    <t>Standard BDBN per trust deed</t>
  </si>
  <si>
    <t>SMSF deed can allow non-lapsing BDBNs (no 3-year expiry)</t>
  </si>
  <si>
    <t>SMSF: non-lapsing BDBN possible if deed allows</t>
  </si>
  <si>
    <t>SMSF deed must specifically permit non-lapsing BDBNs</t>
  </si>
  <si>
    <t>TOTAL ANNUAL COST (with adviser)</t>
  </si>
  <si>
    <t>$4,822–$14,122</t>
  </si>
  <si>
    <t>Including financial adviser ongoing fee range.</t>
  </si>
  <si>
    <t>AUDIT REQUIREMENTS</t>
  </si>
  <si>
    <t>Rice Warner: SMSF cost research 2023</t>
  </si>
  <si>
    <t>Reversionary pension</t>
  </si>
  <si>
    <t>Standard reversionary to spouse</t>
  </si>
  <si>
    <t>Full flexibility: reversionary or BDBN combination</t>
  </si>
  <si>
    <t>SMSF: maximum estate planning flexibility</t>
  </si>
  <si>
    <t>Trustee discretion only applies to non-binding nominations</t>
  </si>
  <si>
    <t>COMPLIANCE OBLIGATIONS SUMMARY</t>
  </si>
  <si>
    <t>Every financial year</t>
  </si>
  <si>
    <t>Engage ATO-registered SMSF auditor (s.35C SIS Act)</t>
  </si>
  <si>
    <t>Using unregistered auditor: $22,200 penalty + fund audit risk</t>
  </si>
  <si>
    <t>ASIC MoneySmart: SMSF page</t>
  </si>
  <si>
    <t>Lodge SMSF Annual Return (SAR)</t>
  </si>
  <si>
    <t>Annually by 31 Oct
(or later if tax agent)</t>
  </si>
  <si>
    <t>s.35D SIS Act. Includes member balances, contributions, income, tax, audit report.</t>
  </si>
  <si>
    <t>Financial audit scope</t>
  </si>
  <si>
    <t>Review financial statements, member accounts, asset valuation, contribution records</t>
  </si>
  <si>
    <t>Qualified audit opinion: ATO notified — triggers ATO review</t>
  </si>
  <si>
    <t>CoreLogic property growth data</t>
  </si>
  <si>
    <t>Engage registered SMSF auditor</t>
  </si>
  <si>
    <t>Each financial year</t>
  </si>
  <si>
    <t>s.35C SIS Act. Auditor appointed by trustees before SAR lodgement. Cannot use fund's own accountant as auditor.</t>
  </si>
  <si>
    <t>Compliance audit scope</t>
  </si>
  <si>
    <t>Review compliance with SIS Act: sole purpose, investment rules, related party, LRBA</t>
  </si>
  <si>
    <t>ATO contravention report: possible non-complying status or prosecution</t>
  </si>
  <si>
    <t>ATO safe harbour LRBA interest rates</t>
  </si>
  <si>
    <t xml:space="preserve">  SECTION C — SMSF COST-EFFECTIVENESS CALCULATOR  (Is an SMSF worth it for your balance?)</t>
  </si>
  <si>
    <t>Pay ATO SMSF levy</t>
  </si>
  <si>
    <t>With SAR each year</t>
  </si>
  <si>
    <t>$259 per fund. Payable via Annual Return lodgement.</t>
  </si>
  <si>
    <t>Auditor independence</t>
  </si>
  <si>
    <t>Auditor must be independent — cannot be the fund's accountant/tax agent</t>
  </si>
  <si>
    <t>s.128F SIS Act. Using non-independent auditor: $22,200 penalty</t>
  </si>
  <si>
    <t>SMSF Association: smsf.asn.au</t>
  </si>
  <si>
    <t>Cost Comparison — Inputs &amp; Outputs</t>
  </si>
  <si>
    <t>Your SMSF
Scenario</t>
  </si>
  <si>
    <t>Equivalent APRA
Industry Fund</t>
  </si>
  <si>
    <t>SMSF Cost
Advantage ($)</t>
  </si>
  <si>
    <t>Break-even
Analysis</t>
  </si>
  <si>
    <t>Investment strategy review</t>
  </si>
  <si>
    <t>Annually (recommended)</t>
  </si>
  <si>
    <t>SIS Reg 4.09. Must consider each member's circumstances. ATO actively audits funds with non-compliant strategies.</t>
  </si>
  <si>
    <t>Your total SMSF balance ($)</t>
  </si>
  <si>
    <t>Trustee minutes &amp; resolutions</t>
  </si>
  <si>
    <t>For each decision</t>
  </si>
  <si>
    <t>All investment decisions, pension commencments, contributions must be minuted. Retain records for 10 years.</t>
  </si>
  <si>
    <t>MINIMUM BALANCE GUIDANCE</t>
  </si>
  <si>
    <t>SMSF annual fixed cost ($)</t>
  </si>
  <si>
    <t>Actuarial certificate (if required)</t>
  </si>
  <si>
    <t>If in pension phase
(accumulation members also)</t>
  </si>
  <si>
    <t>Required if fund has both accumulation AND pension members in same year. Determines exempt current pension income (ECPI).</t>
  </si>
  <si>
    <t>ATO: "Generally not appropriate below $200k"</t>
  </si>
  <si>
    <t>SMSF variable/ICR cost (% of balance)</t>
  </si>
  <si>
    <t>Rice Warner: break-even ~$500k (2023)</t>
  </si>
  <si>
    <t>APRA fund ICR/MER (% of balance)</t>
  </si>
  <si>
    <t>ASIC: suggests $250k+ as cost-effective threshold</t>
  </si>
  <si>
    <t>APRA fund admin fee ($ p.a.)</t>
  </si>
  <si>
    <t xml:space="preserve">  SECTION D — LRBA (LIMITED RECOURSE BORROWING ARRANGEMENT) PROPERTY CALCULATOR</t>
  </si>
  <si>
    <t>Assumed annual investment return (%)</t>
  </si>
  <si>
    <t>LRBA Parameter</t>
  </si>
  <si>
    <t>Your
Input / Value</t>
  </si>
  <si>
    <t>Calculated
Outcome</t>
  </si>
  <si>
    <t>ATO / SIS Act
Reference</t>
  </si>
  <si>
    <t>LRBA PROPERTY DETAILS</t>
  </si>
  <si>
    <t>CALCULATED COST COMPARISON OUTPUTS</t>
  </si>
  <si>
    <t>Property purchase price ($)</t>
  </si>
  <si>
    <t>Residential or commercial property. Commercial property can be purchased from related party.</t>
  </si>
  <si>
    <t>Total annual SMSF cost ($)</t>
  </si>
  <si>
    <t>SMSF equity / deposit (%)</t>
  </si>
  <si>
    <t>Min 30% deposit typically required. Bare trust holds legal title.</t>
  </si>
  <si>
    <t>Total annual APRA fund cost ($)</t>
  </si>
  <si>
    <t>Loan amount ($)</t>
  </si>
  <si>
    <t>Loan amount = purchase price × (1 - deposit %). Calculated automatically.</t>
  </si>
  <si>
    <t>Annual cost saving (SMSF vs APRA) ($)</t>
  </si>
  <si>
    <t>Interest rate (% p.a.)</t>
  </si>
  <si>
    <t>ATO safe harbour rate FY2024-25: 8.85% (real property). Check ato.gov.au for current year.</t>
  </si>
  <si>
    <t>SMSF cost as % of balance</t>
  </si>
  <si>
    <t>Loan term (years)</t>
  </si>
  <si>
    <t>Typical LRBA loan term: 15-25 years.</t>
  </si>
  <si>
    <t>APRA cost as % of balance</t>
  </si>
  <si>
    <t>Annual property capital growth (%)</t>
  </si>
  <si>
    <t>Long-run Australian residential CG: 3-5% p.a. (CoreLogic data).</t>
  </si>
  <si>
    <t>Break-even balance (SMSF = APRA cost) ($)</t>
  </si>
  <si>
    <t>Annual rental yield (% of value)</t>
  </si>
  <si>
    <t>Typical gross yield: 3-5% (net of vacancy ~3-4%).</t>
  </si>
  <si>
    <t>VERDICT</t>
  </si>
  <si>
    <t>Annual property expenses ($ p.a.)</t>
  </si>
  <si>
    <t>Council rates, insurance, maintenance, property manager ~1% of value.</t>
  </si>
  <si>
    <t>30-yr balance advantage of SMSF (compounding cost saving) ($)</t>
  </si>
  <si>
    <t>SMSF annual contributions ($)</t>
  </si>
  <si>
    <t>SGC + salary sacrifice + personal contributions — used to service loan.</t>
  </si>
  <si>
    <t>LRBA CALCULATIONS</t>
  </si>
  <si>
    <t xml:space="preserve">  SMSF vs APRA FUND: ANNUAL COST AT DIFFERENT BALANCE LEVELS</t>
  </si>
  <si>
    <t>SMSF equity (deposit) ($)</t>
  </si>
  <si>
    <t>Min 30% deposit. Bare trustee (custodian) holds legal title until loan repaid.</t>
  </si>
  <si>
    <t>Annual loan interest ($)</t>
  </si>
  <si>
    <t>Interest deductible inside SMSF against rental income and fund income.</t>
  </si>
  <si>
    <t>Balance</t>
  </si>
  <si>
    <t>SMSF Cost</t>
  </si>
  <si>
    <t>APRA Cost</t>
  </si>
  <si>
    <t>Annual principal repayment ($)</t>
  </si>
  <si>
    <t>Approximate annual principal — assumes constant repayment schedule.</t>
  </si>
  <si>
    <t>Total annual loan repayment ($)</t>
  </si>
  <si>
    <t>Must be funded from SMSF cash: rental income + member contributions.</t>
  </si>
  <si>
    <t>Annual rental income ($)</t>
  </si>
  <si>
    <t>Gross rental — taxed at 15% in accumulation phase; 0% in pension phase.</t>
  </si>
  <si>
    <t>Annual net cash flow ($)</t>
  </si>
  <si>
    <t>Contributions + rent − expenses − loan repayment. Should be positive.</t>
  </si>
  <si>
    <t>Cash flow status</t>
  </si>
  <si>
    <t>Negative cash flow requires trustees to inject more member contributions.</t>
  </si>
  <si>
    <t>Property value at end of loan term ($)</t>
  </si>
  <si>
    <t>Projected value after loan term at assumed capital growth rate.</t>
  </si>
  <si>
    <t>Total interest cost over loan term ($)</t>
  </si>
  <si>
    <t>Approximate total interest — actual will vary with principal reductions.</t>
  </si>
  <si>
    <t>Net property gain (value − purchase − total interest) ($)</t>
  </si>
  <si>
    <t>Capital gain minus total interest cost over loan term.</t>
  </si>
  <si>
    <t>LRBA RULES &amp; KEY RESTRICTIONS</t>
  </si>
  <si>
    <t>Cannot purchase from related party (residential)</t>
  </si>
  <si>
    <t>❌ Prohibited</t>
  </si>
  <si>
    <t>s.66 SIS Act. SMSF cannot acquire residential property from related party under any circumstances.</t>
  </si>
  <si>
    <t>Can purchase commercial from related party</t>
  </si>
  <si>
    <t>✅ Permitted (arm's length)</t>
  </si>
  <si>
    <t>Business real property can be acquired from a related party at market value. Popular for business owners.</t>
  </si>
  <si>
    <t>Bare trust required</t>
  </si>
  <si>
    <t>Legal title held by bare/custodian trustee</t>
  </si>
  <si>
    <t>SMSF holds beneficial interest; bare trustee holds legal title. Must be separate legal entity.</t>
  </si>
  <si>
    <t>Loan must be limited recourse</t>
  </si>
  <si>
    <t>Lender can only recourse to the single asset</t>
  </si>
  <si>
    <t>If SMSF defaults, lender cannot pursue other SMSF assets — only the specific property.</t>
  </si>
  <si>
    <t>Improvements vs repairs</t>
  </si>
  <si>
    <t>Repairs: ✅ Allowed.  Improvements: ❌ Not via LRBA</t>
  </si>
  <si>
    <t>Cannot use LRBA funds to improve the asset. Improvements must come from SMSF cash.</t>
  </si>
  <si>
    <t>DISCLAIMER &amp; SOURCES: SMSF running costs based on ATO SMSF statistical report 2024 and Rice Warner cost research 2023. LRBA rules: s.67A-67B SIS Act and ATO LRBA guidelines. ATO safe harbour LRBA interest rates: check ato.gov.au each year — rates change annually. Penalty amounts indexed each financial year (s.166 SIS Act). APRA performance data: Chant West SuperFund Index FY2024-25. This sheet is for educational purposes only and does not constitute financial product advice (Corporations Act 2001 s.766B) or legal advice. Setting up an SMSF is a complex, legally binding decision. Seek advice from a licensed SMSF specialist and/or registered tax agent before establishing an SMSF. Source: ato.gov.au/smsf | smsf.asn.au | asic.gov.au/moneysmart</t>
  </si>
  <si>
    <t>🔍  CHOOSING THE RIGHT FUND &amp; CONSOLIDATING ACCOUNTS  |  APRA FY2024-25 · ATO MyGov</t>
  </si>
  <si>
    <t>Market Share  ·  Lost Super Finder  ·  MySuper vs Choice  ·  ATO YourSuper Tool  ·  Fund Comparison Calculator  ·  Consolidation Cost Saver</t>
  </si>
  <si>
    <t xml:space="preserve">  SECTION A — AUSTRALIAN SUPER INDUSTRY MARKET SHARE  (APRA / KPMG FY2024-25)</t>
  </si>
  <si>
    <t xml:space="preserve">  SECTION B — FINDING &amp; CONSOLIDATING LOST SUPER (ATO MyGov Step-by-Step)</t>
  </si>
  <si>
    <t xml:space="preserve">  SECTION C — MySuper vs CHOICE PRODUCTS: WHAT IS THE DIFFERENCE?</t>
  </si>
  <si>
    <t xml:space="preserve">  SECTION D — HOW TO USE THE ATO YourSuper COMPARISON TOOL</t>
  </si>
  <si>
    <t>Fund Type</t>
  </si>
  <si>
    <t>FY2023
Share (%)</t>
  </si>
  <si>
    <t>FY2024
Share (%)</t>
  </si>
  <si>
    <t>FY2024
Assets ($T)</t>
  </si>
  <si>
    <t>Trend &amp; Key Driver</t>
  </si>
  <si>
    <t>Step / Action</t>
  </si>
  <si>
    <t>How / Where</t>
  </si>
  <si>
    <t>What to Check</t>
  </si>
  <si>
    <t>Warnings &amp; Tips</t>
  </si>
  <si>
    <t>Feature</t>
  </si>
  <si>
    <t>📋 MySuper
(Default)</t>
  </si>
  <si>
    <t>🎯 Choice Product
(Self-selected)</t>
  </si>
  <si>
    <t>What to Look For</t>
  </si>
  <si>
    <t>Detail / Guidance</t>
  </si>
  <si>
    <t>Red Flags / Tips</t>
  </si>
  <si>
    <t>TOTAL INDUSTRY (APRA-regulated + SMSF)</t>
  </si>
  <si>
    <t>STEP 1 — FIND ALL YOUR SUPER ACCOUNTS</t>
  </si>
  <si>
    <t>DEFINITION &amp; REGULATION</t>
  </si>
  <si>
    <t>ACCESSING THE TOOL</t>
  </si>
  <si>
    <t>🟢 Industry Funds (not-for-profit)</t>
  </si>
  <si>
    <t>↑ +1.8pp — APRA performance test, lower fees, strong returns</t>
  </si>
  <si>
    <t>Log in to ATO via myGov</t>
  </si>
  <si>
    <t>my.gov.au → link ATO service → Super → "Find my super"</t>
  </si>
  <si>
    <t>View all super accounts linked to your TFN — including lost/inactive ones</t>
  </si>
  <si>
    <t>Use only official myGov — never third-party sites asking for myGov login</t>
  </si>
  <si>
    <t>What is it?</t>
  </si>
  <si>
    <t>Simple, low-fee default product. Must be offered by all MySuper-authorised funds.</t>
  </si>
  <si>
    <t>Any product beyond MySuper — additional options, platforms, self-managed choices.</t>
  </si>
  <si>
    <t>URL</t>
  </si>
  <si>
    <t>ato.gov.au/yoursuper — or via Google "ATO YourSuper comparison tool"</t>
  </si>
  <si>
    <t>Bookmark the ATO version — avoid third-party aggregators with commercial bias</t>
  </si>
  <si>
    <t>🔵 Retail Funds (bank / insurance group)</t>
  </si>
  <si>
    <t>↓ Losing share to industry funds; platform consolidation</t>
  </si>
  <si>
    <t>Check "Lost &amp; Unclaimed Super" tab</t>
  </si>
  <si>
    <t>ATO portal shows ATO-held super from accounts inactive &gt; 5 years</t>
  </si>
  <si>
    <t>Balance, last employer, fund name for each account</t>
  </si>
  <si>
    <t>~$17.8B in ATO-held super as at June 2024 — many unaware</t>
  </si>
  <si>
    <t>Regulatory requirement</t>
  </si>
  <si>
    <t>Employers must contribute to a MySuper product for employees who have not chosen a fund.</t>
  </si>
  <si>
    <t>Employee actively selects using ATO standard choice form (NAT 13080).</t>
  </si>
  <si>
    <t>What it shows</t>
  </si>
  <si>
    <t>All MySuper products ranked by: 7-year net return, annual fees on $50k balance, and APRA performance test result (Pass/Fail).</t>
  </si>
  <si>
    <t>Only MySuper default options are compared — choice products are NOT listed</t>
  </si>
  <si>
    <t>🔴 SMSFs (ATO-regulated)</t>
  </si>
  <si>
    <t>↓ -3pp — APRA performance test awareness; compliance burden</t>
  </si>
  <si>
    <t>Download your super statement history</t>
  </si>
  <si>
    <t>Each fund sends annual statements — check email and past mail</t>
  </si>
  <si>
    <t>Fund name, USI (Unique Superannuation Identifier), member number</t>
  </si>
  <si>
    <t>Old paper statements may be needed to prove identity to old funds</t>
  </si>
  <si>
    <t>APRA authorisation required?</t>
  </si>
  <si>
    <t>✅ Yes — APRA MySuper authorisation required. Strict criteria.</t>
  </si>
  <si>
    <t>⚠ Not all — some choice products are less regulated than MySuper.</t>
  </si>
  <si>
    <t>KEY METRICS TO COMPARE</t>
  </si>
  <si>
    <t>🟠 Corporate Funds (single-employer)</t>
  </si>
  <si>
    <t>↓ Continuing consolidation — most merging into industry funds</t>
  </si>
  <si>
    <t>STEP 2 — CHOOSE YOUR CONSOLIDATION FUND</t>
  </si>
  <si>
    <t>FEES</t>
  </si>
  <si>
    <t>7-year net return (%)</t>
  </si>
  <si>
    <t>Net return after investment fees and taxes but BEFORE admin fees. Use 7-year figure — not 1-year — to smooth market cycles.</t>
  </si>
  <si>
    <t>⚠ One-year returns are misleading — a fund can rank #1 in 1 yr and #20 in 7 yrs</t>
  </si>
  <si>
    <t>🟣 Public Sector Funds</t>
  </si>
  <si>
    <t>→ Stable — government employee base; defined benefit legacy</t>
  </si>
  <si>
    <t>Compare funds before consolidating</t>
  </si>
  <si>
    <t>Use ATO YourSuper comparison tool (moneysmart.gov.au/super/compare-super-funds)</t>
  </si>
  <si>
    <t>7-year net return, fees on $50k balance, APRA performance test result</t>
  </si>
  <si>
    <t>Do NOT consolidate into an underperforming fund. Compare first.</t>
  </si>
  <si>
    <t>Standardised — admin fee cap applies ($30 + 0.1% for small balances).</t>
  </si>
  <si>
    <t>Varies significantly — can include adviser trail, platform fees, insurance loadings.</t>
  </si>
  <si>
    <t>Annual fee on $50,000 balance ($)</t>
  </si>
  <si>
    <t>ATO standardises fees on a $50,000 reference balance for comparison. Includes admin fee + investment fee on $50k.</t>
  </si>
  <si>
    <t>⚠ Fee impact: $500/yr extra in fees = ~$45,000 less in retirement over 30 years</t>
  </si>
  <si>
    <t>MARKET DYNAMICS — KEY TRENDS</t>
  </si>
  <si>
    <t>Check insurance before closing old account</t>
  </si>
  <si>
    <t>Ring or log in to each old fund before initiating transfer</t>
  </si>
  <si>
    <t>Death, TPD, and income protection cover levels and premiums</t>
  </si>
  <si>
    <t>⚠ CRITICAL — consolidating may CANCEL existing insurance cover. Ensure new fund offers comparable or better cover BEFORE closing old fund.</t>
  </si>
  <si>
    <t>Fee transparency</t>
  </si>
  <si>
    <t>✅ Fully disclosed — APRA heatmap publishes fees and returns annually.</t>
  </si>
  <si>
    <t>⚠ Varies — product disclosure statement (PDS) discloses but not always comparable.</t>
  </si>
  <si>
    <t>APRA performance test result</t>
  </si>
  <si>
    <t>PASS = fund meets annual benchmark. FAIL = fund underperformed by 0.5%+ over 8 years.</t>
  </si>
  <si>
    <t>⚠ Never stay in a FAILED fund. ATO will display a warning on your account in myGov.</t>
  </si>
  <si>
    <t>Total super assets FY2024</t>
  </si>
  <si>
    <t>Up from $3.5T in FY23. Source: APRA Annual Fund-Level Statistics 2024</t>
  </si>
  <si>
    <t>Confirm new fund accepts rollovers</t>
  </si>
  <si>
    <t>Log in to new fund portal or call member services</t>
  </si>
  <si>
    <t>Fund accepts rollovers; you are a current member (not expired)</t>
  </si>
  <si>
    <t>Some employer default funds restrict rollovers in first year</t>
  </si>
  <si>
    <t>Exit / switching fees</t>
  </si>
  <si>
    <t>❌ Banned — MySuper cannot charge exit fees.</t>
  </si>
  <si>
    <t>⚠ May apply — check PDS. Exit fees banned for most retail products post-2019.</t>
  </si>
  <si>
    <t>WHAT THE TOOL DOES NOT SHOW</t>
  </si>
  <si>
    <t>Number of APRA-regulated funds</t>
  </si>
  <si>
    <t>~145 APRA-regulated funds (down from 500+ in 2010 via mergers)</t>
  </si>
  <si>
    <t>STEP 3 — INITIATE CONSOLIDATION</t>
  </si>
  <si>
    <t>INVESTMENT OPTIONS</t>
  </si>
  <si>
    <t>Insurance details</t>
  </si>
  <si>
    <t>YourSuper does NOT compare insurance cover, premiums, or TPD definitions.</t>
  </si>
  <si>
    <t>Check each fund's PDS and insurance guide separately for cover details</t>
  </si>
  <si>
    <t>Number of SMSFs</t>
  </si>
  <si>
    <t>~610,000 SMSFs as at June 2024 (ATO SMSF statistical report)</t>
  </si>
  <si>
    <t>Online via ATO myGov (recommended)</t>
  </si>
  <si>
    <t>myGov → ATO → Super → "Transfer super" → select accounts → request transfer</t>
  </si>
  <si>
    <t>Confirm transfer amount, fund details, and expected timeframe (3-5 business days)</t>
  </si>
  <si>
    <t>ATO portal transfers are free. No buy-sell spread typically applies via ATO route.</t>
  </si>
  <si>
    <t>Single diversified option (balanced/lifecycle). No choice within MySuper.</t>
  </si>
  <si>
    <t>Full menu — conservative to high-growth, sector funds, direct shares, ESG, etc.</t>
  </si>
  <si>
    <t>Member services / digital tools</t>
  </si>
  <si>
    <t>App quality, advice availability, member portal, education resources.</t>
  </si>
  <si>
    <t>Review independently via fund websites and consumer review platforms</t>
  </si>
  <si>
    <t>Number of super accounts (total)</t>
  </si>
  <si>
    <t>~22.5 million accounts — avg ~1.6 accounts per working Australian</t>
  </si>
  <si>
    <t>Direct with fund (alternative)</t>
  </si>
  <si>
    <t>Complete "Rollover authority" form with new fund. Provide old fund USI + member number.</t>
  </si>
  <si>
    <t>Signed form sent to new fund who contacts old fund directly</t>
  </si>
  <si>
    <t>Some funds charge exit fees — check PDS before initiating</t>
  </si>
  <si>
    <t>Lifecycle / glidepath</t>
  </si>
  <si>
    <t>Many MySuper products are lifecycle — auto-reduce growth assets as you age.</t>
  </si>
  <si>
    <t>Member chooses — full control over asset allocation.</t>
  </si>
  <si>
    <t>Non-default investment options</t>
  </si>
  <si>
    <t>Only the MySuper (default balanced) option is shown — not growth, ESG, or sector funds.</t>
  </si>
  <si>
    <t>If you want high-growth or ESG, compare those options separately via fund websites</t>
  </si>
  <si>
    <t>Lost/unclaimed super (ATO estimate)</t>
  </si>
  <si>
    <t>~$17.8B in lost and ATO-held super as at 30 June 2024</t>
  </si>
  <si>
    <t>Request consolidation of ATO-held amounts</t>
  </si>
  <si>
    <t>ATO portal → Super → "Transfer ATO-held super" to your chosen fund</t>
  </si>
  <si>
    <t>ATO-held amounts are tax-free to transfer — no withholding tax applies</t>
  </si>
  <si>
    <t>ATO-held super earns 0% return — transfer immediately once found</t>
  </si>
  <si>
    <t>PERFORMANCE TESTING</t>
  </si>
  <si>
    <t>INTERPRETING THE RESULTS</t>
  </si>
  <si>
    <t>WHY INDUSTRY FUND SHARE IS RISING</t>
  </si>
  <si>
    <t>STEP 4 — CONFIRM &amp; MONITOR</t>
  </si>
  <si>
    <t>APRA annual performance test</t>
  </si>
  <si>
    <t>✅ Mandatory — underperforming MySuper products publicly named, banned from new members if fail twice.</t>
  </si>
  <si>
    <t>⚠ Nominated choice products also tested from FY2022. Not all choice products tested.</t>
  </si>
  <si>
    <t>Top vs bottom performers</t>
  </si>
  <si>
    <t>Wide gap between top and bottom funds. Top performers average 7-8% net; bottom performers can trail by 2-3% p.a. — significant over 30 years.</t>
  </si>
  <si>
    <t>2% p.a. difference on $200k over 30 years = ~$320,000 more at retirement</t>
  </si>
  <si>
    <t>APRA performance test (from FY2022)</t>
  </si>
  <si>
    <t>Annual benchmarking test — underperforming funds publicly named; barred from accepting new members if they fail twice. Accelerated member movement to outperforming industry funds.</t>
  </si>
  <si>
    <t>Confirm receipt with new fund</t>
  </si>
  <si>
    <t>Check new fund statement within 10 business days of transfer</t>
  </si>
  <si>
    <t>Total balance increased by transferred amount; member number unchanged</t>
  </si>
  <si>
    <t>If transfer does not arrive in 10 days, contact both funds</t>
  </si>
  <si>
    <t>YourSuper comparison tool</t>
  </si>
  <si>
    <t>✅ All MySuper products listed and ranked — easy comparison.</t>
  </si>
  <si>
    <t>⚠ Partial — some choice products not listed on YourSuper tool.</t>
  </si>
  <si>
    <t>Industry fund dominance at top</t>
  </si>
  <si>
    <t>Industry (not-for-profit) funds occupy most top-10 positions in FY2024. AustralianSuper, AwareSuper, UniSuper, Hostplus, REST regularly top-ranked.</t>
  </si>
  <si>
    <t>Past performance does not guarantee future returns — check consistently</t>
  </si>
  <si>
    <t>Stapling (from 1 Nov 2021)</t>
  </si>
  <si>
    <t>New employees stapled to existing fund — prevents unintended duplicate accounts. Large industry funds with broad employer coverage gained member retention.</t>
  </si>
  <si>
    <t>Update employer payroll</t>
  </si>
  <si>
    <t>Provide new fund name, USI, member number to payroll/HR</t>
  </si>
  <si>
    <t>Next SGC payment goes to correct fund</t>
  </si>
  <si>
    <t>After stapling, employer may need to update fund choice form (ATO NAT 13080)</t>
  </si>
  <si>
    <t>INSURANCE</t>
  </si>
  <si>
    <t>Small vs large funds</t>
  </si>
  <si>
    <t>Larger funds (AUM &gt;$50B) generally have lower ICRs due to scale efficiencies.</t>
  </si>
  <si>
    <t>Smaller funds may offer niche benefits (sector expertise, member services)</t>
  </si>
  <si>
    <t>Fee transparency (APRA heatmap)</t>
  </si>
  <si>
    <t>APRA's annual heatmap publicly compares fees and net returns. Industry funds consistently in top-performing quartile on net returns.</t>
  </si>
  <si>
    <t>Update insurance nominations</t>
  </si>
  <si>
    <t>Review and update binding death benefit nomination in consolidated fund</t>
  </si>
  <si>
    <t>Nomination reflects new combined balance and correct beneficiaries</t>
  </si>
  <si>
    <t>Insurance cover resets to default in new fund — check and increase if needed</t>
  </si>
  <si>
    <t>Default insurance</t>
  </si>
  <si>
    <t>✅ Automatic — Death, TPD, and optionally Income Protection included by default.</t>
  </si>
  <si>
    <t>⚠ Varies — some choice products have default cover; others require opt-in.</t>
  </si>
  <si>
    <t>WHEN TO ACT ON COMPARISON RESULTS</t>
  </si>
  <si>
    <t>Member education campaigns</t>
  </si>
  <si>
    <t>Industry funds invest heavily in financial literacy campaigns. AustralianSuper, AwareSuper, UniSuper, Hostplus branded awareness.</t>
  </si>
  <si>
    <t>STAPLING RULES (from 1 Nov 2021)</t>
  </si>
  <si>
    <t>Insurance customisation</t>
  </si>
  <si>
    <t>⚠ Limited — default cover, with ability to increase/decrease.</t>
  </si>
  <si>
    <t>✅ Full — choice products often offer tailored life insurance solutions.</t>
  </si>
  <si>
    <t>Your fund fails performance test</t>
  </si>
  <si>
    <t>ATO sends warning notification. You should consolidate to a passing fund ASAP.</t>
  </si>
  <si>
    <t>⚠ Do NOT ignore ATO performance test warnings — compounding drag is permanent</t>
  </si>
  <si>
    <t>What is stapling?</t>
  </si>
  <si>
    <t>Each Australian is "stapled" to their first super fund. New employers must check ATO for your stapled fund before defaulting to their own fund.</t>
  </si>
  <si>
    <t>Prevents new duplicate accounts being created with each job change</t>
  </si>
  <si>
    <t>You can always choose your own fund — stapling does not restrict your choice</t>
  </si>
  <si>
    <t>Your fund consistently in bottom quartile</t>
  </si>
  <si>
    <t>Persistently ranking in bottom 25% of net returns is a clear switch signal.</t>
  </si>
  <si>
    <t>Check: is it just one bad year or persistent underperformance over 5+ years?</t>
  </si>
  <si>
    <t>FY23</t>
  </si>
  <si>
    <t>FY24</t>
  </si>
  <si>
    <t>Unstaple / switch funds</t>
  </si>
  <si>
    <t>Provide new fund details to employer on ATO standard choice form (NAT 13080)</t>
  </si>
  <si>
    <t>Employer updates payroll to direct SGC to your chosen fund</t>
  </si>
  <si>
    <t>No limit on how often you can change funds — but check insurance/fees each time</t>
  </si>
  <si>
    <t>Best suited to</t>
  </si>
  <si>
    <t>Most Australians — especially those not actively engaged in super.</t>
  </si>
  <si>
    <t>Engaged investors wanting specific investments, adviser services, or platforms.</t>
  </si>
  <si>
    <t>Fee gap &gt;0.5% vs comparable fund</t>
  </si>
  <si>
    <t>If your fund charges 0.5%+ more than a comparable top performer, consider switching.</t>
  </si>
  <si>
    <t>Check insurance before switching — fee saving may be offset if new fund has higher premiums</t>
  </si>
  <si>
    <t>Industry</t>
  </si>
  <si>
    <t>ATO recommendation</t>
  </si>
  <si>
    <t>MySuper is ATO's default recommendation for disengaged members.</t>
  </si>
  <si>
    <t>Seek advice before moving from MySuper to a complex choice product.</t>
  </si>
  <si>
    <t>Retail</t>
  </si>
  <si>
    <t>SMSF</t>
  </si>
  <si>
    <t>For most people</t>
  </si>
  <si>
    <t>✅ Stay in a top-performing MySuper product (check APRA heatmap)</t>
  </si>
  <si>
    <t>✅ Only switch to choice if you have a specific investment need or adviser</t>
  </si>
  <si>
    <t>Corporate</t>
  </si>
  <si>
    <t xml:space="preserve">  SECTION F — COST OF HOLDING DUPLICATE ACCOUNTS (Why Consolidation Matters)</t>
  </si>
  <si>
    <t>Public</t>
  </si>
  <si>
    <t>Parameter</t>
  </si>
  <si>
    <t>Input
(Change These)</t>
  </si>
  <si>
    <t>Calculated
Result</t>
  </si>
  <si>
    <t>Why It Matters</t>
  </si>
  <si>
    <t>Number of duplicate accounts (total)</t>
  </si>
  <si>
    <t xml:space="preserve">  MARKET SHARE CHART: INDUSTRY vs SMSF vs RETAIL  (FY23 vs FY24)</t>
  </si>
  <si>
    <t>Total super balance ($)</t>
  </si>
  <si>
    <t xml:space="preserve">  SECTION G — FUND SELECTION CHECKLIST  (Before Switching or Consolidating)</t>
  </si>
  <si>
    <t xml:space="preserve">  SECTION E — FUND COMPARISON CALCULATOR: COMPARE UP TO 4 FUNDS OVER 30 YEARS</t>
  </si>
  <si>
    <t>Annual admin fee per account ($)</t>
  </si>
  <si>
    <t>Checklist Item</t>
  </si>
  <si>
    <t>Your Notes
(editable)</t>
  </si>
  <si>
    <t>Priority</t>
  </si>
  <si>
    <t>Input / Output</t>
  </si>
  <si>
    <t>🏆 Fund A</t>
  </si>
  <si>
    <t>🥈 Fund B</t>
  </si>
  <si>
    <t>🥉 Fund C</t>
  </si>
  <si>
    <t>4️⃣ Fund D</t>
  </si>
  <si>
    <t>Insurance premium per account ($ p.a.)</t>
  </si>
  <si>
    <t>PERFORMANCE</t>
  </si>
  <si>
    <t>Fund name (label)</t>
  </si>
  <si>
    <t>AustralianSuper</t>
  </si>
  <si>
    <t>AwareSuper</t>
  </si>
  <si>
    <t>REST Super</t>
  </si>
  <si>
    <t>Retail Fund X</t>
  </si>
  <si>
    <t>Check 7-year net return on ATO YourSuper tool</t>
  </si>
  <si>
    <t>🔴 Must-do</t>
  </si>
  <si>
    <t>Confirm fund passes APRA performance test</t>
  </si>
  <si>
    <t>Compare 5 and 10-year returns (not just 1-year)</t>
  </si>
  <si>
    <t>7-yr net investment return (%)</t>
  </si>
  <si>
    <t>COST OF DUPLICATION OUTPUTS</t>
  </si>
  <si>
    <t>Rank against peers on APRA heatmap</t>
  </si>
  <si>
    <t>🟠 Important</t>
  </si>
  <si>
    <t>Annual admin fee ($)</t>
  </si>
  <si>
    <t>Total annual admin fees (all accounts) ($)</t>
  </si>
  <si>
    <t>With 1 consolidated account, pay this only once</t>
  </si>
  <si>
    <t>Investment fee / ICR (%)</t>
  </si>
  <si>
    <t>Total annual insurance premiums (all accounts) ($)</t>
  </si>
  <si>
    <t>Duplicate insurance cover: paying for same risk multiple times</t>
  </si>
  <si>
    <t>Compare annual fee on $50,000 balance (ATO tool)</t>
  </si>
  <si>
    <t>Insurance premium ($ p.a.)</t>
  </si>
  <si>
    <t>Annual waste (excess admin + insurance) ($)</t>
  </si>
  <si>
    <t>Amount wasted vs having 1 consolidated account</t>
  </si>
  <si>
    <t>Check ICR/MER — investment management fee (%)</t>
  </si>
  <si>
    <t>Wasted fees &amp; premiums over 30 years (nominal) ($)</t>
  </si>
  <si>
    <t>Simple sum without compounding — actual loss is higher</t>
  </si>
  <si>
    <t>Check buy-sell spread (if you plan to switch options)</t>
  </si>
  <si>
    <t>Compounding cost of wasted fees (FV) ($)</t>
  </si>
  <si>
    <t>Future value of annual wasted fees if instead invested at same return</t>
  </si>
  <si>
    <t>Any advice/platform fees included?</t>
  </si>
  <si>
    <t>CALCULATED COMPARISON OUTPUTS</t>
  </si>
  <si>
    <t>Balance WITH consolidation (30 yrs) ($)</t>
  </si>
  <si>
    <t>Full balance compounds unimpeded</t>
  </si>
  <si>
    <t>Net annual return after ICR (%)</t>
  </si>
  <si>
    <t>Balance WITHOUT consolidation — excess fees drag ($)</t>
  </si>
  <si>
    <t>Annual fee drain reduces compounding base — long-term damage</t>
  </si>
  <si>
    <t>Compare default Death cover ($)</t>
  </si>
  <si>
    <t>🔴 Must-do before switching</t>
  </si>
  <si>
    <t>Total annual cost (admin + ICR on balance + insurance) ($)</t>
  </si>
  <si>
    <t>Retirement balance GAIN from consolidating ($)</t>
  </si>
  <si>
    <t>The value of acting now vs procrastinating</t>
  </si>
  <si>
    <t>Compare default TPD cover ($)</t>
  </si>
  <si>
    <t>Total cost as % of balance (%)</t>
  </si>
  <si>
    <t>Extra months of retirement income gained (@ 5% drawdown)</t>
  </si>
  <si>
    <t>Consolidation pays for more retirement income</t>
  </si>
  <si>
    <t>Compare Income Protection — benefit period &amp; waiting period</t>
  </si>
  <si>
    <t>Projected balance at end of period ($)</t>
  </si>
  <si>
    <t>Check premium rates — not just cover amount</t>
  </si>
  <si>
    <t>Check any exclusions or pre-existing condition rules</t>
  </si>
  <si>
    <t>DISCLAIMER &amp; SOURCES: Market share data: APRA Annual Fund-Level Superannuation Statistics FY2024 and KPMG Super Insights Report 2025. Lost super figure: ATO annual super statistics June 2024. YourSuper tool returns: ATO/APRA FY2024-25. Fund performance examples (AustralianSuper, AwareSuper, REST) are illustrative — verify current returns at ato.gov.au/yoursuper before making decisions. Stapling rules: Treasury Laws Amendment (Your Future, Your Super) Act 2021. This calculator is for educational purposes only and does not constitute financial product advice (Corporations Act 2001 s.766B). Seek advice from a licensed AFS adviser before switching funds. Source: ato.gov.au · apra.gov.au · moneysmart.gov.au</t>
  </si>
  <si>
    <t>Real balance (inflation-adj. @ 2.5%) ($)</t>
  </si>
  <si>
    <t>Does new fund offer your preferred investment option?</t>
  </si>
  <si>
    <t>vs Fund A — balance difference ($)</t>
  </si>
  <si>
    <t>"— (base)"</t>
  </si>
  <si>
    <t>ESG / ethical option available?</t>
  </si>
  <si>
    <t>🟢 Nice to have</t>
  </si>
  <si>
    <t>RANK (1 = best projected balance)</t>
  </si>
  <si>
    <t>MySuper lifecycle or single option?</t>
  </si>
  <si>
    <t>MEMBER SERVICES</t>
  </si>
  <si>
    <t>Mobile app quality and features</t>
  </si>
  <si>
    <t>Financial advice access (intra-fund advice free?)</t>
  </si>
  <si>
    <t>Online account management and switching</t>
  </si>
  <si>
    <t>FINAL STEPS</t>
  </si>
  <si>
    <t>Confirm new fund is a recognised MySuper provider</t>
  </si>
  <si>
    <t>Complete ATO standard choice form (NAT 13080)</t>
  </si>
  <si>
    <t>Update employer payroll with new fund USI</t>
  </si>
  <si>
    <t>Review and update BDBN in new fund</t>
  </si>
  <si>
    <t>Set up salary sacrifice in new fund (if applicable)</t>
  </si>
  <si>
    <t>💸  FEES — THE SILENT KILLER OF RETIREMENT WEALTH  |  APRA FY2024-25 · ICR · Admin · Buy-Sell</t>
  </si>
  <si>
    <t>Fee Anatomy  ·  APRA Benchmarks  ·  30-Year Fee Drag Calculator  ·  Scenario Comparison  ·  How to Read Your PDS  ·  Fee Reduction Strategies</t>
  </si>
  <si>
    <t xml:space="preserve">  SECTION A — EVERY FEE DECODED: THE COMPLETE ANATOMY OF SUPER FEES</t>
  </si>
  <si>
    <t xml:space="preserve">  SECTION B — APRA FEE BENCHMARKS: WHAT ARE YOU PAYING? (FY2024-25)</t>
  </si>
  <si>
    <t xml:space="preserve">  SECTION E — THE "0.5% RULE": HOW MUCH DOES EACH FEE TIER COST YOU?</t>
  </si>
  <si>
    <t xml:space="preserve">  SECTION F — HOW TO READ YOUR FUND'S FEE DISCLOSURE (PDS &amp; ANNUAL STATEMENT)</t>
  </si>
  <si>
    <t xml:space="preserve">  FEE REDUCTION STRATEGIES</t>
  </si>
  <si>
    <t>Fee Type</t>
  </si>
  <si>
    <t>Also Called</t>
  </si>
  <si>
    <t>How It Is Charged</t>
  </si>
  <si>
    <t>Typical Range
(APRA FY2024-25)</t>
  </si>
  <si>
    <t>Impact &amp; What to Watch</t>
  </si>
  <si>
    <t>Fund Segment</t>
  </si>
  <si>
    <t>Total Fees on $50k
($ p.a.)</t>
  </si>
  <si>
    <t>Total Fees on $250k
($ p.a.)</t>
  </si>
  <si>
    <t>APRA Assessment
&amp; Context</t>
  </si>
  <si>
    <t>Fee Scenario</t>
  </si>
  <si>
    <t>On $200k Balance
30-Year Impact ($)</t>
  </si>
  <si>
    <t>Key Insight</t>
  </si>
  <si>
    <t>Where to Find It / What to Do</t>
  </si>
  <si>
    <t>What It Means</t>
  </si>
  <si>
    <t>Red Flags</t>
  </si>
  <si>
    <t>MANDATORY FEES (all funds must disclose)</t>
  </si>
  <si>
    <t>TOP PERFORMERS (lowest fees — APRA heatmap green zone)</t>
  </si>
  <si>
    <t>RETIREMENT BALANCE AT DIFFERENT FEE LEVELS</t>
  </si>
  <si>
    <t>YOUR PRODUCT DISCLOSURE STATEMENT (PDS)</t>
  </si>
  <si>
    <t>IMMEDIATE ACTIONS</t>
  </si>
  <si>
    <t>Administration fee</t>
  </si>
  <si>
    <t>Member fee / account-keeping fee</t>
  </si>
  <si>
    <t>Fixed dollar amount per year (sometimes per month). Deducted from account.</t>
  </si>
  <si>
    <t>$0 – $720 p.a.
($0 – $60/mth)</t>
  </si>
  <si>
    <t>Harms small balances most — $400/yr on $10k = 4.0% fee rate. Must be disclosed in PDS and Annual Statement.</t>
  </si>
  <si>
    <t>Best MySuper product (lowest total fee)</t>
  </si>
  <si>
    <t>$155</t>
  </si>
  <si>
    <t>$650</t>
  </si>
  <si>
    <t>Hostplus Balanced — ICR 0.10%+admin $78. Source: APRA Heatmap Dec 2024</t>
  </si>
  <si>
    <t>0.25% total fee (ultra-low; passive/index)</t>
  </si>
  <si>
    <t>Roughly achievable with Vanguard-style index options in top-performing funds</t>
  </si>
  <si>
    <t>"Fees and costs" table (mandatory)</t>
  </si>
  <si>
    <t>Standardised APRA template since 2022. Shows: (1) investment fee, (2) administration fee, (3) buy-sell spread, (4) advice fee.</t>
  </si>
  <si>
    <t>If any fee is listed as "nil" or "0%" but your return seems low — check if fees are being netted against return instead of disclosed separately.</t>
  </si>
  <si>
    <t>1. Check ATO YourSuper — if your fund is in the bottom half on fees, consider switching</t>
  </si>
  <si>
    <t>Investment fee
(ICR / MER)</t>
  </si>
  <si>
    <t>Investment Cost Ratio (ICR)
Management Expense Ratio (MER)</t>
  </si>
  <si>
    <t>Percentage of assets — deducted daily from the unit price of investment options. You never see this leave — it reduces your gross return before it is reported.</t>
  </si>
  <si>
    <t>Industry funds: 0.40–0.65%
Retail funds: 0.70–1.30%
SMSF: 0.00% (self-managed)</t>
  </si>
  <si>
    <t>The most significant fee for large balances. At 1.0% on $300k = $3,000/yr extracted silently from unit prices.</t>
  </si>
  <si>
    <t>Median top-quartile MySuper</t>
  </si>
  <si>
    <t>$285</t>
  </si>
  <si>
    <t>$1,050</t>
  </si>
  <si>
    <t>Top 25% of MySuper products on total fees. ICR ~0.40%–0.55%.</t>
  </si>
  <si>
    <t>0.50% total fee (best-in-class MySuper)</t>
  </si>
  <si>
    <t>Top quartile APRA funds. e.g. Hostplus Indexed Balanced ≈ 0.10% ICR</t>
  </si>
  <si>
    <t>Total annual fee example (e.g., on $50,000)</t>
  </si>
  <si>
    <t>APRA requires PDS to show total fees on a $50,000 balance example. Use this to compare directly against ATO YourSuper tool.</t>
  </si>
  <si>
    <t>If PDS doesn't show a dollar example, ask the fund for one. Complexity hides fees.</t>
  </si>
  <si>
    <t>2. Ring your fund and ask: "What is my total ICR and total annual fee?"</t>
  </si>
  <si>
    <t>Transaction costs</t>
  </si>
  <si>
    <t>Implicit cost / portfolio transaction cost</t>
  </si>
  <si>
    <t>Brokerage, stamp duty, and spreads incurred when fund buys/sells assets. Reported separately from ICR in PDS since 2022 APRA reforms.</t>
  </si>
  <si>
    <t>0.01% – 0.30%</t>
  </si>
  <si>
    <t>Often overlooked — active managers with high portfolio turnover incur more. Passive/index funds typically under 0.05%.</t>
  </si>
  <si>
    <t>Industry fund average (MySuper balanced)</t>
  </si>
  <si>
    <t>$325</t>
  </si>
  <si>
    <t>$1,165</t>
  </si>
  <si>
    <t>APRA FY2024-25 industry fund average. Down from ~$380 in FY2022 due to scale.</t>
  </si>
  <si>
    <t>0.75% total fee (good industry fund average)</t>
  </si>
  <si>
    <t>AustralianSuper, AwareSuper, UniSuper balanced options ≈ 0.55-0.75% total</t>
  </si>
  <si>
    <t>Additional explanation of fees and costs</t>
  </si>
  <si>
    <t>Further detail — including performance fees, indirect costs, and how buy-sell spread is calculated. Often in the appendix.</t>
  </si>
  <si>
    <t>⚠ Performance fees can add 0.10%–0.50% — only visible here.</t>
  </si>
  <si>
    <t>3. Check annual statement for any advice fees — remove if no adviser relationship</t>
  </si>
  <si>
    <t>Buy-sell spread</t>
  </si>
  <si>
    <t>Entry/exit spread / transaction spread</t>
  </si>
  <si>
    <t>Difference between buy price and sell price of units. Applied when you contribute, switch options, or withdraw.</t>
  </si>
  <si>
    <t>±0.01% – ±0.30%
per transaction</t>
  </si>
  <si>
    <t>Applies every time you switch investment options. Frequent switchers pay this repeatedly — compounds switching costs.</t>
  </si>
  <si>
    <t>MIDDLE PERFORMERS (average — yellow zone)</t>
  </si>
  <si>
    <t>1.00% total fee (industry fund — upper range)</t>
  </si>
  <si>
    <t>Mid-tier retail funds or industry funds with extra service layers</t>
  </si>
  <si>
    <t>YOUR ANNUAL MEMBER STATEMENT</t>
  </si>
  <si>
    <t>4. Consolidate duplicate accounts to eliminate double admin fees and double insurance</t>
  </si>
  <si>
    <t>Indirect cost ratio
(total ICR)</t>
  </si>
  <si>
    <t>Indirect Cost Ratio (ICR) — total</t>
  </si>
  <si>
    <t>Sum of investment fee + transaction costs + underlying fund costs (for funds-of-funds). APRA requires total ICR disclosure from 2022.</t>
  </si>
  <si>
    <t>MySuper avg: 0.53%
Choice avg: 0.85%
Top quartile: &lt;0.40%</t>
  </si>
  <si>
    <t>This is the number to compare across funds — use APRA heatmap total ICR column.</t>
  </si>
  <si>
    <t>Overall MySuper average (all products)</t>
  </si>
  <si>
    <t>$447</t>
  </si>
  <si>
    <t>$1,478</t>
  </si>
  <si>
    <t>APRA Annual Fund Level Statistics FY2024-25. Includes all 85 MySuper products.</t>
  </si>
  <si>
    <t>1.25% total fee (retail fund average)</t>
  </si>
  <si>
    <t>Bank-owned MySuper products. APRA flags at upper boundary of acceptable</t>
  </si>
  <si>
    <t>"Fees deducted from your account" section</t>
  </si>
  <si>
    <t>Shows the actual dollar amount of admin fees, insurance premiums, and advice fees deducted from your account during the year.</t>
  </si>
  <si>
    <t>⚠ If you see an "advice service fee" and you don't have an adviser, contact your fund immediately — this is an unauthorised charge.</t>
  </si>
  <si>
    <t>OPTIONAL / CONDITIONAL FEES</t>
  </si>
  <si>
    <t>Retail fund average (MySuper)</t>
  </si>
  <si>
    <t>$585</t>
  </si>
  <si>
    <t>$2,025</t>
  </si>
  <si>
    <t>Retail/bank-owned funds average significantly higher due to profit margin.</t>
  </si>
  <si>
    <t>1.50% total fee (high-cost retail / old wrap)</t>
  </si>
  <si>
    <t>Legacy retail products still held by millions. APRA performance test red zone.</t>
  </si>
  <si>
    <t>"Investment earnings" line</t>
  </si>
  <si>
    <t>This shows earnings AFTER investment fees (ICR) have been silently deducted from unit prices. The ICR cost is not shown as a line item.</t>
  </si>
  <si>
    <t>You cannot see ICR deductions on your statement — they are embedded in the unit price. Use PDS to find the ICR percentage.</t>
  </si>
  <si>
    <t>INVESTMENT OPTION REVIEW</t>
  </si>
  <si>
    <t>Switching fee</t>
  </si>
  <si>
    <t>Investment option change fee</t>
  </si>
  <si>
    <t>Charged per switch between investment options (rare in MySuper, more common in older products).</t>
  </si>
  <si>
    <t>$0 – $54 per switch
(banned in MySuper)</t>
  </si>
  <si>
    <t>MySuper bans switching fees. Check if your old retail product charges per switch.</t>
  </si>
  <si>
    <t>UNDERPERFORMERS (high fees — APRA red zone)</t>
  </si>
  <si>
    <t>2.00% total fee (very high — legacy platforms)</t>
  </si>
  <si>
    <t>⚠ Some older platform products still charge 2%+. Exit fee risk — check PDS.</t>
  </si>
  <si>
    <t>Your fund's "total cost ratio" or "MER"</t>
  </si>
  <si>
    <t>Some funds publish a total cost ratio combining all fees. Compare this single number across funds for efficiency.</t>
  </si>
  <si>
    <t>MER/ICR varies significantly between investment options in the same fund — your growth option may have a higher ICR than the balanced option.</t>
  </si>
  <si>
    <t>5. Compare fees across options within your fund — passive/index options often 0.10-0.20% cheaper</t>
  </si>
  <si>
    <t>Advice fee</t>
  </si>
  <si>
    <t>Ongoing service fee / adviser service fee</t>
  </si>
  <si>
    <t>Charged where you have an ongoing adviser relationship linked to your super account. Must be consented to annually (opt-in required since 2021 FASEA reforms).</t>
  </si>
  <si>
    <t>$0 – $3,000+ p.a.</t>
  </si>
  <si>
    <t>Was a major source of cross-subsidisation in older retail products. Check your annual statement for any deduction you haven't authorised.</t>
  </si>
  <si>
    <t>Highest-fee MySuper product</t>
  </si>
  <si>
    <t>$842</t>
  </si>
  <si>
    <t>$3,180</t>
  </si>
  <si>
    <t>APRA publicly names highest-cost products. These are in the red zone of the heatmap.</t>
  </si>
  <si>
    <t>IMPACT TABLE: 0.50% vs HIGHER FEE TIERS</t>
  </si>
  <si>
    <t>APRA HEATMAP &amp; YourSuper TOOL</t>
  </si>
  <si>
    <t>6. If you are in a default retail product, compare against top MySuper industry funds</t>
  </si>
  <si>
    <t>Insurance premium</t>
  </si>
  <si>
    <t>Death / TPD / IP premium</t>
  </si>
  <si>
    <t>Deducted from super balance monthly. Reduces account balance directly.</t>
  </si>
  <si>
    <t>$200 – $5,000+ p.a.
(age &amp; cover dependent)</t>
  </si>
  <si>
    <t>Often the largest fee for members under 40. Check your insurance is appropriate — many people are over-insured inside super.</t>
  </si>
  <si>
    <t>Legacy retail products (grandfathered)</t>
  </si>
  <si>
    <t>$900+</t>
  </si>
  <si>
    <t>$4,000+</t>
  </si>
  <si>
    <t>Older wrap/platform products with embedded advice fees. ASIC "fee for no service" projects found billions in unearned fees 2014–2021.</t>
  </si>
  <si>
    <t>0.50% vs 1.00% (0.5% gap)</t>
  </si>
  <si>
    <t>A 0.5% fee gap costs $335,804 over 30 years on $200k</t>
  </si>
  <si>
    <t>ATO YourSuper comparison tool</t>
  </si>
  <si>
    <t>ato.gov.au/yoursuper — shows total fees on $50k for every MySuper product. Updated annually from APRA data. Sort by "fee" column.</t>
  </si>
  <si>
    <t>Only MySuper default options shown — not all choice products. If your fund only offers a choice product, request fee comparison from fund.</t>
  </si>
  <si>
    <t>7. If your fund is on APRA's red list, act immediately — fees compound against you every day</t>
  </si>
  <si>
    <t>Exit / withdrawal fee</t>
  </si>
  <si>
    <t>Redemption fee</t>
  </si>
  <si>
    <t>Fee charged when you close your account or roll over to another fund.</t>
  </si>
  <si>
    <t>Banned for
MySuper products</t>
  </si>
  <si>
    <t>⚠ Still exists in some older retail platforms (grandfathered). Check your PDS before initiating a rollover from a legacy product.</t>
  </si>
  <si>
    <t>REFERENCE: DOLLAR COST AT DIFFERENT BALANCES</t>
  </si>
  <si>
    <t>0.50% vs 1.50% (1.0% gap)</t>
  </si>
  <si>
    <t>A 1.0% fee gap costs $632,412 over 30 years on $200k</t>
  </si>
  <si>
    <t>APRA MySuper Heatmap (December annual)</t>
  </si>
  <si>
    <t>apra.gov.au — publishes annual heatmap. Green = low fees, Red = high fees. Your fund's name will appear with a colour coding.</t>
  </si>
  <si>
    <t>⚠ Red heatmap rating = consider switching — APRA publicly identifies high-fee products as value concern for members.</t>
  </si>
  <si>
    <t>APRA DISCLOSURE REFORM (from FY2022)</t>
  </si>
  <si>
    <t>Low fee fund (0.50% total ICR + $78 admin)</t>
  </si>
  <si>
    <t>Rule: admin($78) + balance × 0.50%</t>
  </si>
  <si>
    <t>0.50% vs 2.00% (1.5% gap)</t>
  </si>
  <si>
    <t>A 1.5% fee gap costs $894,388 over 30 years on $200k</t>
  </si>
  <si>
    <t>STRUCTURAL STRATEGIES</t>
  </si>
  <si>
    <t>Total fee &amp; cost template</t>
  </si>
  <si>
    <t>SuperRatings / APRA standard template</t>
  </si>
  <si>
    <t>APRA requires all funds to report fees in a standardised template since July 2022.</t>
  </si>
  <si>
    <t>All MySuper &amp; nominated choice products</t>
  </si>
  <si>
    <t>Look for "Investment fee", "Administration fee", "Transaction costs" — these must now be disclosed separately in every PDS.</t>
  </si>
  <si>
    <t>Average fund (0.85% total ICR + $180 admin)</t>
  </si>
  <si>
    <t>Rule: admin($180) + balance × 0.85%</t>
  </si>
  <si>
    <t>INCOME EQUIVALENT (@ 5% annual drawdown)</t>
  </si>
  <si>
    <t>"What is your total ICR for my investment option?"</t>
  </si>
  <si>
    <t>Ask specifically for the TOTAL ICR including indirect costs — not just the base fee.</t>
  </si>
  <si>
    <t>If they can't answer or direct you to a dense PDS only, that's a red flag.</t>
  </si>
  <si>
    <t>8. Salary sacrifice — contributions made directly to super avoid employer admin overhead</t>
  </si>
  <si>
    <t>APRA annual heatmap</t>
  </si>
  <si>
    <t>MySuper Product Heatmap</t>
  </si>
  <si>
    <t>APRA publishes annual heatmap showing total fees on $50k balance for each MySuper product.</t>
  </si>
  <si>
    <t>Published each December</t>
  </si>
  <si>
    <t>ato.gov.au/yoursuper uses this data. A fund in the red (high-fee) zone is immediately identifiable — powerful for members.</t>
  </si>
  <si>
    <t>High fee fund (1.50% total ICR + $420 admin)</t>
  </si>
  <si>
    <t>Rule: admin($420) + balance × 1.50%</t>
  </si>
  <si>
    <t>Extra years of income from switching 1.50% → 0.50% fund</t>
  </si>
  <si>
    <t>Years of income = balance gain ÷ (low-fee retirement balance × 5% drawdown)</t>
  </si>
  <si>
    <t>"Is there any advice fee being deducted from my account?"</t>
  </si>
  <si>
    <t>You should only pay an advice fee if you have an active adviser relationship AND you have renewed your consent in the last 12 months (opt-in rules).</t>
  </si>
  <si>
    <t>⚠ Any advice fee without current consent = fee for no service = potentially recoverable. Contact AFCA if unresolved.</t>
  </si>
  <si>
    <t>9. Larger balances attract lower effective fee % — contribute more to reduce fee drag</t>
  </si>
  <si>
    <t>FEE DRAG MILESTONES</t>
  </si>
  <si>
    <t>Extra monthly income if switched at age 40 (30-yr horizon)</t>
  </si>
  <si>
    <t>Equivalent monthly income gained over extra years (illustrative)</t>
  </si>
  <si>
    <t>"What is your buy-sell spread for my investment option?"</t>
  </si>
  <si>
    <t>You pay this every time you switch options or make a withdrawal. Ask before switching between investment options within the fund.</t>
  </si>
  <si>
    <t>Frequent switching (e.g., during market volatility) multiplies this cost. Each switch = sell spread on exit + buy spread on entry.</t>
  </si>
  <si>
    <t>10. SMSF break-even review — only cost-effective above ~$500k (see SMSF Guide tab)</t>
  </si>
  <si>
    <t>$100 extra in annual fees costs at retirement (30 yrs @ 7%)</t>
  </si>
  <si>
    <t>$944</t>
  </si>
  <si>
    <t>Every $100/yr in extra fees = ~$9,440 less at retirement (FV of $100 annuity @ 7%, 30 yrs)</t>
  </si>
  <si>
    <t xml:space="preserve">  SECTION C — THE FEE DRAG CALCULATOR: 30-YEAR COMPOUNDING IMPACT</t>
  </si>
  <si>
    <t>$1,000 extra in annual fees (i.e. 1% on $100k)</t>
  </si>
  <si>
    <t>$9,440</t>
  </si>
  <si>
    <t>Switching from 1.5% to 0.5% on $100k saves $1,000/yr → $9,440 more at retirement</t>
  </si>
  <si>
    <t>ONGOING MONITORING</t>
  </si>
  <si>
    <t>Calculator — Inputs &amp; Outputs</t>
  </si>
  <si>
    <t>🟢 LOW FEE
Fund</t>
  </si>
  <si>
    <t>🟡 AVERAGE FEE
Fund</t>
  </si>
  <si>
    <t>🔴 HIGH FEE
Fund</t>
  </si>
  <si>
    <t>YOUR
Fund</t>
  </si>
  <si>
    <t>0.5% fee difference on $300k over 30 years</t>
  </si>
  <si>
    <t>$1,500/yr</t>
  </si>
  <si>
    <t>$42,375</t>
  </si>
  <si>
    <t>$1,500/yr saved × FV factor (30 yrs @ 7%) = ~$142,000 more at retirement</t>
  </si>
  <si>
    <t>11. Check APRA heatmap every December — fund rankings shift year to year</t>
  </si>
  <si>
    <t>12. Review fees annually when you review your investment option choice</t>
  </si>
  <si>
    <t>13. After a fund merger — merged fund fees often drop — re-check total ICR</t>
  </si>
  <si>
    <t>Gross investment return (% p.a.)</t>
  </si>
  <si>
    <t>Annual administration fee ($)</t>
  </si>
  <si>
    <t xml:space="preserve">  SECTION D — FEE IMPACT OVER TIME: FOUR FEE SCENARIOS (CHART DATA)</t>
  </si>
  <si>
    <t>KEY APRA / ATO SOURCES</t>
  </si>
  <si>
    <t>Investment fee / ICR (% p.a.)</t>
  </si>
  <si>
    <t>0.50% Total Fees
($200k start)</t>
  </si>
  <si>
    <t>1.00% Total Fees
($200k start)</t>
  </si>
  <si>
    <t>1.50% Total Fees
($200k start)</t>
  </si>
  <si>
    <t>2.00% Total Fees
($200k start)</t>
  </si>
  <si>
    <t>apra.gov.au — MySuper Heatmap (December each year)</t>
  </si>
  <si>
    <t>ato.gov.au/yoursuper — Compare all MySuper funds</t>
  </si>
  <si>
    <t>moneysmart.gov.au/super/fees — Fee calculator</t>
  </si>
  <si>
    <t>APRA Super Stats: total_fees / member / fund type</t>
  </si>
  <si>
    <t>Net return after ICR (% p.a.)</t>
  </si>
  <si>
    <t>Total fee % of balance (admin ÷ bal + ICR)</t>
  </si>
  <si>
    <t>Projected balance at retirement ($)</t>
  </si>
  <si>
    <t>Annual fees in year 1 ($)</t>
  </si>
  <si>
    <t>Annual fees by year 30 ($)</t>
  </si>
  <si>
    <t>Total admin fees extracted (30 yrs) ($)</t>
  </si>
  <si>
    <t>PROJECTED BALANCE ($) — summary row</t>
  </si>
  <si>
    <t>BALANCE LOST vs low-fee fund ($)</t>
  </si>
  <si>
    <t>"-"</t>
  </si>
  <si>
    <t>DISCLAIMER &amp; SOURCES: Fee benchmarks sourced from APRA Annual MySuper Statistics and APRA Heatmap FY2024-25. Actual fund fees change each year — verify at ato.gov.au/yoursuper and your fund's current PDS. Fee drag calculations use a simplified formula assuming constant returns and contributions — actual outcomes will vary. This sheet is for educational purposes only and does not constitute financial product advice (Corporations Act 2001 s.766B). Seek advice from a licensed AFS adviser before switching funds. Source: apra.gov.au · ato.gov.au · moneysmart.gov.au</t>
  </si>
  <si>
    <t>Fee drag: years of income lost (@ 5% drawdown)</t>
  </si>
  <si>
    <t xml:space="preserve">  FEE DRAG CHART — $200k START, $12k/YR CONTRIB, 8% GROSS RETURN</t>
  </si>
  <si>
    <t>📈  FUND PERFORMANCE &amp; INVESTMENT RETURNS  |  APRA Performance Test · Net Returns · Risk</t>
  </si>
  <si>
    <t>"Strong net returns" &amp; "certainty and stability" — top two priorities for Australian superannuants (NSA Survey 2024)  ·  APRA Performance Test  ·  YourSuper Tool  ·  Sequencing Risk</t>
  </si>
  <si>
    <t xml:space="preserve">  SECTION A — WHAT IS "NET RETURN"? THE WATERFALL FROM GROSS TO NET</t>
  </si>
  <si>
    <t xml:space="preserve">  SECTION B — APRA PERFORMANCE TEST: HOW IT WORKS &amp; WHAT FAILURE MEANS</t>
  </si>
  <si>
    <t xml:space="preserve">  SECTION C — HISTORICAL NET RETURN BENCHMARKS BY OPTION TYPE (APRA / Chant West)</t>
  </si>
  <si>
    <t xml:space="preserve">  SECTION G — STEP-BY-STEP: HOW TO COMPARE FUNDS ON ATO YourSuper</t>
  </si>
  <si>
    <t>Return Component</t>
  </si>
  <si>
    <t>How it is
calculated</t>
  </si>
  <si>
    <t>Typical
Magnitude</t>
  </si>
  <si>
    <t>Where it
Appears</t>
  </si>
  <si>
    <t>Your Control
Over It</t>
  </si>
  <si>
    <t>Test Component</t>
  </si>
  <si>
    <t>Detail</t>
  </si>
  <si>
    <t>Pass Threshold</t>
  </si>
  <si>
    <t>Fail Consequence</t>
  </si>
  <si>
    <t>Member Action</t>
  </si>
  <si>
    <t>1-Year
Net Return (%)</t>
  </si>
  <si>
    <t>5-Year
Net Return (%)</t>
  </si>
  <si>
    <t>7-Year
Net Return (%)</t>
  </si>
  <si>
    <t>Step / What to Do</t>
  </si>
  <si>
    <t>GROSS RETURN (starting point)</t>
  </si>
  <si>
    <t>APRA PERFORMANCE TEST — OVERVIEW</t>
  </si>
  <si>
    <t>APRA-REGULATED FUNDS — BALANCED OPTION AVERAGES (FY2024-25)</t>
  </si>
  <si>
    <t>ACCESS THE TOOL</t>
  </si>
  <si>
    <t>Gross investment return</t>
  </si>
  <si>
    <t>Total return earned on underlying assets before any costs</t>
  </si>
  <si>
    <t>5%–12% p.a. depending on option (balanced avg ~8% long-run)</t>
  </si>
  <si>
    <t>Not directly disclosed — back-calculated from unit prices</t>
  </si>
  <si>
    <t>Low — determined by markets &amp; fund manager skill</t>
  </si>
  <si>
    <t>Annual benchmark test comparing each MySuper/nominated product net return against an APRA-constructed benchmark of equivalent asset allocation.</t>
  </si>
  <si>
    <t>Product must not underperform by more than 0.5% p.a. over 8 years</t>
  </si>
  <si>
    <t>First failure: public name and shame. Second consecutive: barred from new members.</t>
  </si>
  <si>
    <t>Check ato.gov.au — if your fund failed, consider switching</t>
  </si>
  <si>
    <t>Conservative (defensive)</t>
  </si>
  <si>
    <t>Go to ato.gov.au/yoursuper</t>
  </si>
  <si>
    <t>Official ATO comparison tool. Free, no login required. Updated each December with the latest APRA data.</t>
  </si>
  <si>
    <t>The URL must be ato.gov.au — avoid third-party aggregators</t>
  </si>
  <si>
    <t>Third-party sites may have commercial bias or outdated data</t>
  </si>
  <si>
    <t>DEDUCTIONS (invisible drags)</t>
  </si>
  <si>
    <t>Who is tested?</t>
  </si>
  <si>
    <t>All MySuper products (default) since FY2022. Nominated choice products added from FY2022 onwards. SMSF and corporate funds exempt.</t>
  </si>
  <si>
    <t>N/A — applies to all listed products</t>
  </si>
  <si>
    <t>Unregulated products (SMSFs) have no performance test</t>
  </si>
  <si>
    <t>Any MySuper product you hold is subject to this test</t>
  </si>
  <si>
    <t>SELECT FILTERS</t>
  </si>
  <si>
    <t>Investment fee / ICR</t>
  </si>
  <si>
    <t>Silently deducted from unit price daily before net return is calculated</t>
  </si>
  <si>
    <t>0.10%–1.50% p.a.</t>
  </si>
  <si>
    <t>Product Disclosure Statement (PDS) — NOT on your statement</t>
  </si>
  <si>
    <t>High — choose low-ICR fund/option</t>
  </si>
  <si>
    <t>TEST METHODOLOGY</t>
  </si>
  <si>
    <t>Balanced (MySuper default)</t>
  </si>
  <si>
    <t>Filter by fund type</t>
  </si>
  <si>
    <t>Use "Fund type" dropdown to compare: MySuper / industry / retail / public sector.</t>
  </si>
  <si>
    <t>Start with MySuper to compare apples-to-apples</t>
  </si>
  <si>
    <t>Mixing MySuper and Choice products distorts comparison</t>
  </si>
  <si>
    <t>Brokerage, stamp duty on fund's own trades — deducted from unit price</t>
  </si>
  <si>
    <t>0.01%–0.30% p.a.</t>
  </si>
  <si>
    <t>PDS "Additional explanation of fees"</t>
  </si>
  <si>
    <t>Moderate — passive index options lower than active</t>
  </si>
  <si>
    <t>Benchmark construction</t>
  </si>
  <si>
    <t>APRA builds a composite benchmark using each fund's declared strategic asset allocation (SAA). Benchmark = weighted sum of index returns for each asset class.</t>
  </si>
  <si>
    <t>Benchmark is risk-adjusted — same allocation, market returns only</t>
  </si>
  <si>
    <t>Fund cannot blame "different strategy" — test is SAA-matched</t>
  </si>
  <si>
    <t>Understand: APRA is comparing like-for-like on asset allocation</t>
  </si>
  <si>
    <t>Growth (70–85% growth assets)</t>
  </si>
  <si>
    <t>Filter by performance test result</t>
  </si>
  <si>
    <t>Use "Performance test" filter. Select "Pass" to exclude all failing funds.</t>
  </si>
  <si>
    <t>Remove all failed products from your shortlist immediately</t>
  </si>
  <si>
    <t>⚠ Any FAIL result means you should be considering a switch</t>
  </si>
  <si>
    <t>Earnings tax (15% accumulation)</t>
  </si>
  <si>
    <t>15% tax on fund's taxable earnings — applied inside the fund</t>
  </si>
  <si>
    <t>Reduces ~1.0–1.5% gross return for typical balanced fund</t>
  </si>
  <si>
    <t>Fund's tax return — estimated impact on net return</t>
  </si>
  <si>
    <t>Low — applies to all APRA funds in accumulation phase</t>
  </si>
  <si>
    <t>8-year rolling period</t>
  </si>
  <si>
    <t>Performance is measured over 8 rolling financial years. Long enough to smooth one bad year but short enough to catch persistent underperformers.</t>
  </si>
  <si>
    <t>Fund must not underperform cumulative benchmark by more than 0.5% p.a. × 8 years</t>
  </si>
  <si>
    <t>First fail: public disclosure + warning on ATO myGov for all members</t>
  </si>
  <si>
    <t>If fund failed: your ATO myGov account will show a warning</t>
  </si>
  <si>
    <t>High-Growth / Aggressive</t>
  </si>
  <si>
    <t>COMPARE THE KEY COLUMNS</t>
  </si>
  <si>
    <t>REPORTED NET RETURN</t>
  </si>
  <si>
    <t>Underperformance threshold</t>
  </si>
  <si>
    <t>If a product's 8-year annualised net return is more than 0.5% p.a. below its benchmark, it fails the test.</t>
  </si>
  <si>
    <t>0.5% p.a. cumulative — approximately 4.06% over 8 years</t>
  </si>
  <si>
    <t>Fund discloses failure in all member communications within 28 days</t>
  </si>
  <si>
    <t>0.5% p.a. may seem small — on $100k it is $500/yr compounded for 8 years</t>
  </si>
  <si>
    <t>MySuper median (all products)</t>
  </si>
  <si>
    <t>APRA's primary comparison metric. Net of investment fees and earnings tax. The most important column — reflects actual member outcome over the long term.</t>
  </si>
  <si>
    <t>Top-performing funds consistently achieve 8%+ on 7-year basis</t>
  </si>
  <si>
    <t>⚠ Do not use 1-year returns — misleading due to market cycles</t>
  </si>
  <si>
    <t>Net return (after fees &amp; tax)</t>
  </si>
  <si>
    <t>Gross return minus ICR, transaction costs, and 15% earnings tax</t>
  </si>
  <si>
    <t>5%–9% p.a. for balanced options after costs</t>
  </si>
  <si>
    <t>Fund website, annual report, APRA YourSuper tool</t>
  </si>
  <si>
    <t>Maximise by choosing top-performing, low-fee fund</t>
  </si>
  <si>
    <t>CONSEQUENCES FOR MEMBERS</t>
  </si>
  <si>
    <t>TOP-PERFORMING FUNDS (FY2024-25 — illustrative, check current data)</t>
  </si>
  <si>
    <t>Annual fee on $50k balance ($)</t>
  </si>
  <si>
    <t>Standardised for comparison. Includes investment fee + admin fee on $50k reference balance.</t>
  </si>
  <si>
    <t>Top funds: $155–$350. Average: $447. Red zone: $700+</t>
  </si>
  <si>
    <t>⚠ Fee above $700/yr on $50k = 1.4%+ total fee rate — very high</t>
  </si>
  <si>
    <t>THEN YOUR OWN COSTS (after net return is credited)</t>
  </si>
  <si>
    <t>First failure</t>
  </si>
  <si>
    <t>Fund MUST: (1) notify all members within 28 days, (2) display failure on all marketing materials, (3) tell members they should consider switching.</t>
  </si>
  <si>
    <t>ATO displays warning on member's myGov account</t>
  </si>
  <si>
    <t>Members notified — many switch funds following notification</t>
  </si>
  <si>
    <t>⚠ Do NOT ignore this notification — switch immediately</t>
  </si>
  <si>
    <t>AustralianSuper — Balanced</t>
  </si>
  <si>
    <t>Performance test status</t>
  </si>
  <si>
    <t>PASS or FAIL shown next to each fund. Colour-coded.</t>
  </si>
  <si>
    <t>All funds on your shortlist must show PASS</t>
  </si>
  <si>
    <t>⚠ FAIL = fund underperformed its benchmark by 0.5%+ p.a. over 8 years</t>
  </si>
  <si>
    <t>Fixed dollar amount deducted directly from your account balance</t>
  </si>
  <si>
    <t>$0–$720 p.a.</t>
  </si>
  <si>
    <t>Your annual member statement — visible as a line item</t>
  </si>
  <si>
    <t>High — choose low admin fee fund</t>
  </si>
  <si>
    <t>Second consecutive failure</t>
  </si>
  <si>
    <t>Fund is BANNED from accepting new members or new rollovers. Existing members can stay but cannot receive new contributions.</t>
  </si>
  <si>
    <t>No new members accepted</t>
  </si>
  <si>
    <t>Fund effectively in run-off — likely to merge or wind up</t>
  </si>
  <si>
    <t>Transfer out immediately — fund going into run-off</t>
  </si>
  <si>
    <t>AwareSuper — Growth</t>
  </si>
  <si>
    <t>BUILDING YOUR SHORTLIST</t>
  </si>
  <si>
    <t>Insurance premiums</t>
  </si>
  <si>
    <t>Deducted directly from your account balance monthly</t>
  </si>
  <si>
    <t>$200–$5,000+ p.a.</t>
  </si>
  <si>
    <t>High — review cover levels</t>
  </si>
  <si>
    <t>PERFORMANCE TEST RESULTS FY2024</t>
  </si>
  <si>
    <t>Hostplus — Balanced</t>
  </si>
  <si>
    <t>Step 1: Filter to PASS only</t>
  </si>
  <si>
    <t>Eliminate all FAIL products immediately.</t>
  </si>
  <si>
    <t>Leaves ~80 products</t>
  </si>
  <si>
    <t>If your current fund failed, this step removes it from consideration</t>
  </si>
  <si>
    <t>YOUR ACTUAL NET RETURN FORMULA</t>
  </si>
  <si>
    <t>MySuper products tested</t>
  </si>
  <si>
    <t>~85 MySuper products tested in FY2024</t>
  </si>
  <si>
    <t>All 85 products assessed</t>
  </si>
  <si>
    <t>Results published December each year at apra.gov.au</t>
  </si>
  <si>
    <t>UniSuper — Balanced</t>
  </si>
  <si>
    <t>Step 2: Sort by 7-year return (descending)</t>
  </si>
  <si>
    <t>Rank all remaining funds by 7-year net return, highest first.</t>
  </si>
  <si>
    <t>Look for consistency — fund should appear in top 20% across multiple years</t>
  </si>
  <si>
    <t>⚠ Funds appearing only in FY2024 top ranks may be one-year wonders</t>
  </si>
  <si>
    <t>Formula</t>
  </si>
  <si>
    <t>Actual net return = Reported net return − (admin fee ÷ balance) − (insurance ÷ balance)</t>
  </si>
  <si>
    <t>This is what actually grows your balance — lower than the advertised "net return"</t>
  </si>
  <si>
    <t>Must be calculated personally — funds do not report this directly</t>
  </si>
  <si>
    <t>Maximise: low fee + low ICR + right cover level</t>
  </si>
  <si>
    <t>Products that failed (FY2024)</t>
  </si>
  <si>
    <t>5 MySuper products failed in FY2024 (down from 13 in FY2022)</t>
  </si>
  <si>
    <t>80 of 85 passed (94%)</t>
  </si>
  <si>
    <t>Failed funds must notify all members</t>
  </si>
  <si>
    <t>Search "APRA MySuper heatmap" to see pass/fail list</t>
  </si>
  <si>
    <t>REST Super — Core Strategy</t>
  </si>
  <si>
    <t>Step 3: Check fee vs return balance</t>
  </si>
  <si>
    <t>A fund with 0.3% higher return but 0.5% higher fees is a net negative. Net benefit = return difference minus fee difference.</t>
  </si>
  <si>
    <t>Best funds have BOTH top-quartile returns AND low fees</t>
  </si>
  <si>
    <t>Be wary of funds with high gross returns but high fees eating into net</t>
  </si>
  <si>
    <t>WHY REPORTED NET RETURN CAN MISLEAD</t>
  </si>
  <si>
    <t>Total assets in failing products</t>
  </si>
  <si>
    <t>~$55 billion in MySuper products that have failed at least once since FY2022</t>
  </si>
  <si>
    <t>Failing funds collectively held ~$55B before member exits</t>
  </si>
  <si>
    <t>Mass member switching observed after failure notifications</t>
  </si>
  <si>
    <t>This represents ~1.4% of total super assets — still material</t>
  </si>
  <si>
    <t>APRA PERFORMANCE TEST BENCHMARK (8-yr rolling, FY2024)</t>
  </si>
  <si>
    <t>Step 4: Cross-check insurance</t>
  </si>
  <si>
    <t>YourSuper does NOT show insurance. After shortlisting 3 funds, check each fund's insurance guide for cover and premiums.</t>
  </si>
  <si>
    <t>Comparable death/TPD cover at lower or similar premium</t>
  </si>
  <si>
    <t>⚠ A lower-fee fund may not be better if its insurance premium is $500/yr higher</t>
  </si>
  <si>
    <t>Short-term returns</t>
  </si>
  <si>
    <t>A fund returning 20% in one year may have had exceptional one-off gains. 1-year returns are near-meaningless for long-term comparison.</t>
  </si>
  <si>
    <t>Use 7–10 year net returns for meaningful comparison (APRA benchmark)</t>
  </si>
  <si>
    <t>APRA YourSuper tool defaults to 7-year — use this</t>
  </si>
  <si>
    <t>Your job: insist on 7+ year timeframe</t>
  </si>
  <si>
    <t>HOW TO CHECK YOUR FUND</t>
  </si>
  <si>
    <t>MySuper composite benchmark (FY2024)</t>
  </si>
  <si>
    <t>INTERPRETING RESULTS</t>
  </si>
  <si>
    <t>Different start dates</t>
  </si>
  <si>
    <t>A fund with a newer vintage may look better simply because it started after a bear market. Compare funds of similar vintage.</t>
  </si>
  <si>
    <t>ATO YourSuper normalises start dates for all products</t>
  </si>
  <si>
    <t>APRA standardises to 8-year rolling period for performance test</t>
  </si>
  <si>
    <t>Use APRA heatmap for normalised comparison</t>
  </si>
  <si>
    <t>Step 1: ATO MyGov</t>
  </si>
  <si>
    <t>Log in to myGov → ATO → Super → View super accounts. A red warning banner appears on any account in a failed fund.</t>
  </si>
  <si>
    <t>No warning = fund passed (or not yet tested)</t>
  </si>
  <si>
    <t>Check quarterly — test results published each December</t>
  </si>
  <si>
    <t>Minimum pass threshold (benchmark minus 0.5%)</t>
  </si>
  <si>
    <t>What a 1% return difference means</t>
  </si>
  <si>
    <t>On $200k, 1% per year more = $2,000/yr extra growth. Compounded over 30 years this is ~$189,000 more at retirement.</t>
  </si>
  <si>
    <t>Even a 0.5% persistent return advantage is worth investigating</t>
  </si>
  <si>
    <t>Do not switch for short-term return differences — look at 7+ year trends</t>
  </si>
  <si>
    <t>Gross vs net confusion</t>
  </si>
  <si>
    <t>Some historical data shows gross returns (before fees/tax). Always confirm you are comparing NET returns.</t>
  </si>
  <si>
    <t>APRA YourSuper — all returns are NET of fees and taxes</t>
  </si>
  <si>
    <t>Chant West, SuperRatings: always ask "is this net?"</t>
  </si>
  <si>
    <t>Always ask: "Is this NET of fees and tax?"</t>
  </si>
  <si>
    <t>Step 2: APRA YourSuper tool</t>
  </si>
  <si>
    <t>ato.gov.au/yoursuper — filter by "performance test result" column. Green = PASS, Red = FAIL.</t>
  </si>
  <si>
    <t>Any fund showing FAIL</t>
  </si>
  <si>
    <t>Sort the table by net return column to find top performers</t>
  </si>
  <si>
    <t>Typical failing fund</t>
  </si>
  <si>
    <t>Large fund advantage</t>
  </si>
  <si>
    <t>Funds with $50B+ AUM typically achieve lower ICRs due to scale. AustralianSuper ($350B+), AwareSuper, Hostplus benefit most.</t>
  </si>
  <si>
    <t>Check whether fee advantage of large funds is sustainable</t>
  </si>
  <si>
    <t>Fund size alone is not a guarantee — UniSuper manages $135B and tops lists</t>
  </si>
  <si>
    <t>Step 3: APRA Heatmap</t>
  </si>
  <si>
    <t>apra.gov.au/publications → search "MySuper Heatmap". Full heat-map shows colour rating for return, fee, and sustainability.</t>
  </si>
  <si>
    <t>Green zones = strong performer</t>
  </si>
  <si>
    <t>Red zones = concern — not yet failed but at risk</t>
  </si>
  <si>
    <t>Colour zones: Green = strong, Yellow = average, Red = at risk</t>
  </si>
  <si>
    <t>RETURN CONTEXT — HISTORICAL PERSPECTIVE</t>
  </si>
  <si>
    <t>Consistency over ranking</t>
  </si>
  <si>
    <t>A fund ranked #3 for 5 consecutive years is better than one ranked #1 this year. Consistency reflects investment governance, not luck.</t>
  </si>
  <si>
    <t>Check prior year rankings in APRA historical data</t>
  </si>
  <si>
    <t>⚠ Funds jumping to top rankings often revert to mean</t>
  </si>
  <si>
    <t>Australian shares (ASX 200)</t>
  </si>
  <si>
    <t xml:space="preserve">  SECTION D — PERSONALISED RETURN CALCULATOR: COMPARE ANY TWO RETURN SCENARIOS</t>
  </si>
  <si>
    <t>International shares (MSCI World)</t>
  </si>
  <si>
    <t>Calculator Inputs &amp; Outputs</t>
  </si>
  <si>
    <t>📈 Scenario A
(Your Current Fund)</t>
  </si>
  <si>
    <t>📊 Scenario B
(Better Fund)</t>
  </si>
  <si>
    <t>📉 Scenario C
(Underperformer)</t>
  </si>
  <si>
    <t>🔎 Difference
A vs B</t>
  </si>
  <si>
    <t xml:space="preserve">  SECTION E — VOLATILITY, RISK &amp; STABILITY: WHAT TO EXPECT FROM EACH OPTION</t>
  </si>
  <si>
    <t>Australian bonds (Bloomberg Agg.)</t>
  </si>
  <si>
    <t>Option Type</t>
  </si>
  <si>
    <t>Approx. Std Dev
(% p.a.)</t>
  </si>
  <si>
    <t>Max 1-Year
Drawdown (%)</t>
  </si>
  <si>
    <t>Neg. Return
Years (in 20)</t>
  </si>
  <si>
    <t>Years to Recover
from Major Crash</t>
  </si>
  <si>
    <t>Cash (RBA cash rate)</t>
  </si>
  <si>
    <t>RISK METRICS BY OPTION TYPE (estimated, based on APRA/Chant West data)</t>
  </si>
  <si>
    <t>CPI inflation</t>
  </si>
  <si>
    <t>Net return (% p.a.) — after fees</t>
  </si>
  <si>
    <t>3–5%</t>
  </si>
  <si>
    <t>1–2</t>
  </si>
  <si>
    <t>~6 months</t>
  </si>
  <si>
    <t>Real return (balanced, net of CPI)</t>
  </si>
  <si>
    <t>5–8%</t>
  </si>
  <si>
    <t>2–3</t>
  </si>
  <si>
    <t>~1 year</t>
  </si>
  <si>
    <t>Inflation rate (% p.a.)</t>
  </si>
  <si>
    <t>7–10%</t>
  </si>
  <si>
    <t>-18%</t>
  </si>
  <si>
    <t>3–4</t>
  </si>
  <si>
    <t>~1.5 years</t>
  </si>
  <si>
    <t>9–13%</t>
  </si>
  <si>
    <t>-25%</t>
  </si>
  <si>
    <t>4–5</t>
  </si>
  <si>
    <t>~2 years</t>
  </si>
  <si>
    <t>High-Growth (90%+ equities)</t>
  </si>
  <si>
    <t>12–17%</t>
  </si>
  <si>
    <t>-35%</t>
  </si>
  <si>
    <t>5–6</t>
  </si>
  <si>
    <t>~2.5 years</t>
  </si>
  <si>
    <t>Cons-Bal</t>
  </si>
  <si>
    <t>Nominal balance at end of period ($)</t>
  </si>
  <si>
    <t>NSA MEMBER PRIORITIES — STABILITY vs GROWTH</t>
  </si>
  <si>
    <t>Real (inflation-adj.) balance ($)</t>
  </si>
  <si>
    <t>NSA finding: #1 priority</t>
  </si>
  <si>
    <t>"Strong net returns" — members want growth above all else</t>
  </si>
  <si>
    <t>NSA Survey of Older Australians 2024</t>
  </si>
  <si>
    <t>NSA finding: #3 priority</t>
  </si>
  <si>
    <t>"Certainty and stability of returns" — members want predictability</t>
  </si>
  <si>
    <t>This directly conflicts with higher-growth options</t>
  </si>
  <si>
    <t>Implication for fund choice</t>
  </si>
  <si>
    <t>Balanced option resolves the tension — reasonable return with manageable volatility</t>
  </si>
  <si>
    <t>Most MySuper defaults are balanced — APRA designed this deliberately</t>
  </si>
  <si>
    <t xml:space="preserve">  7-YEAR NET RETURN BY OPTION TYPE (FY2024-25 averages)</t>
  </si>
  <si>
    <t>Real annual return (CPI-adjusted)</t>
  </si>
  <si>
    <t>VOLATILITY CONCEPTS EXPLAINED</t>
  </si>
  <si>
    <t>DISCLAIMER &amp; SOURCES: Return benchmarks based on APRA Annual Fund-Level Superannuation Statistics FY2024-25 and Chant West SuperFund Index. Named fund returns are illustrative — verify current returns at ato.gov.au/yoursuper. APRA performance test methodology: apra.gov.au/superannuation-performance-test. NSA member priorities: National Seniors Australia survey, commissioned by Super Members Council, 2024. Sequencing risk model is simplified — actual outcomes depend on timing, contribution levels, and return sequence. This calculator is for educational purposes only and does not constitute financial product advice (Corporations Act 2001 s.766B). Past performance is not a reliable indicator of future performance. Source: apra.gov.au · ato.gov.au · moneysmart.gov.au · chantwest.com.au</t>
  </si>
  <si>
    <t>Maximum drawdown</t>
  </si>
  <si>
    <t>The largest peak-to-trough decline in a single 12-month period. High-growth options dropped ~30-35% in GFC and ~25% in COVID.</t>
  </si>
  <si>
    <t>Check your tolerance: could you see your balance fall 30% without selling?</t>
  </si>
  <si>
    <t>Sequencing Risk Parameter</t>
  </si>
  <si>
    <t>Good Sequence
(crash early)</t>
  </si>
  <si>
    <t>Bad Sequence
(crash late)</t>
  </si>
  <si>
    <t>Insight / Impact</t>
  </si>
  <si>
    <t>Negative return years</t>
  </si>
  <si>
    <t>Number of years in 20 where the option delivered a negative annual return. Conservative: ~1-2 years. High-growth: ~5-6 years.</t>
  </si>
  <si>
    <t>APRA calls this "expected frequency of negative annual returns"</t>
  </si>
  <si>
    <t>INPUTS (change yellow cells)</t>
  </si>
  <si>
    <t>Recovery time</t>
  </si>
  <si>
    <t>Approximate time to recover from a major market crash back to previous peak. Longer for high-growth, shorter for defensive options.</t>
  </si>
  <si>
    <t>Crucial near retirement — see Sequencing Risk (Section F)</t>
  </si>
  <si>
    <t>Starting balance at age 55 ($)</t>
  </si>
  <si>
    <t>Annual drawdown from age 65 ($)</t>
  </si>
  <si>
    <t>Normal annual return (% p.a.)</t>
  </si>
  <si>
    <t>Crash return (1 year)</t>
  </si>
  <si>
    <t>Good sequence: crash in year</t>
  </si>
  <si>
    <t>Bad sequence: crash in year</t>
  </si>
  <si>
    <t>CALCULATED SEQUENCING RISK OUTCOMES</t>
  </si>
  <si>
    <t>Balance at retirement — good sequence ($)</t>
  </si>
  <si>
    <t>Balance at retirement — bad sequence ($)</t>
  </si>
  <si>
    <t>Estimated years funds last — good sequence</t>
  </si>
  <si>
    <t>SEQUENCING RISK MITIGATION STRATEGIES</t>
  </si>
  <si>
    <t>Reduce equity allocation from age 55</t>
  </si>
  <si>
    <t>Lifecycle/glidepath option or manual shift to balanced/conservative</t>
  </si>
  <si>
    <t>Seek financial advice before implementing</t>
  </si>
  <si>
    <t>Bucket strategy (years 1-3 in cash)</t>
  </si>
  <si>
    <t>Hold 2-3 years of drawdown in cash/defensive — insulates from early crash</t>
  </si>
  <si>
    <t>Delay retirement if crash occurs near planned date</t>
  </si>
  <si>
    <t>Working 1-2 extra years after a crash lets markets recover before drawdown starts</t>
  </si>
  <si>
    <t>Use MySuper lifecycle product</t>
  </si>
  <si>
    <t>Automatically reduces risk as you approach retirement — built-in sequencing protection</t>
  </si>
  <si>
    <t>♀  GENDER GAP IN SUPER: DATA, CAUSES, PPL REFORM &amp; STRATEGIES  |  ABS · ASFA · DSS 2025</t>
  </si>
  <si>
    <t>Gap Statistics  ·  Root Causes  ·  Career Break Calculator  ·  PPL Super Reform (1 Jul 2025)  ·  Closing-the-Gap Strategies  ·  Lifetime Projection</t>
  </si>
  <si>
    <t xml:space="preserve">  SECTION A — THE GENDER SUPER GAP: KEY STATISTICS (ABS · ASFA · SMC FY2024-25)</t>
  </si>
  <si>
    <t xml:space="preserve">  SECTION B — WHY THE GAP EXISTS: STRUCTURAL ROOT CAUSES</t>
  </si>
  <si>
    <t xml:space="preserve">  SECTION E — STRATEGIES TO CLOSE THE GENDER SUPER GAP</t>
  </si>
  <si>
    <t xml:space="preserve">  SECTION F — LIFETIME SUPER PROJECTION: WOMAN vs MAN COMPARISON</t>
  </si>
  <si>
    <t xml:space="preserve">  ACTION CHECKLIST &amp; KEY RESOURCES</t>
  </si>
  <si>
    <t>Metric</t>
  </si>
  <si>
    <t>Women</t>
  </si>
  <si>
    <t>Men</t>
  </si>
  <si>
    <t>Gap
($ or %)</t>
  </si>
  <si>
    <t>Source &amp; Context</t>
  </si>
  <si>
    <t>Root Cause</t>
  </si>
  <si>
    <t>Mechanism</t>
  </si>
  <si>
    <t>Super Impact</t>
  </si>
  <si>
    <t>Estimated $ Cost
(career lifetime)</t>
  </si>
  <si>
    <t>Policy Response</t>
  </si>
  <si>
    <t>$ Benefit &amp; Notes</t>
  </si>
  <si>
    <t>Woman
(typical career)</t>
  </si>
  <si>
    <t>Man
(typical career)</t>
  </si>
  <si>
    <t>MEDIAN BALANCES BY AGE (ABS, June 2024)</t>
  </si>
  <si>
    <t>DIRECT FINANCIAL CAUSES</t>
  </si>
  <si>
    <t>EMPLOYER &amp; GOVERNMENT STRATEGIES</t>
  </si>
  <si>
    <t>Starting age</t>
  </si>
  <si>
    <t>Median balance — all ages</t>
  </si>
  <si>
    <t>$68,700</t>
  </si>
  <si>
    <t>$100,600</t>
  </si>
  <si>
    <t>−$31,900
(−32%)</t>
  </si>
  <si>
    <t>ABS Characteristics of Employment Survey 2024. Gap persists despite 30 years of compulsory super.</t>
  </si>
  <si>
    <t>Gender pay gap (14.2%)</t>
  </si>
  <si>
    <t>Women earn 14.2% less than men in full-time equivalent roles (AWOTE May 2024).</t>
  </si>
  <si>
    <t>SGC is % of salary — lower salary = proportionally lower employer super contributions throughout career.</t>
  </si>
  <si>
    <t>~$58,000 less in super over 35-yr career (on median salary difference)</t>
  </si>
  <si>
    <t>Pay equity legislation; WGEA mandatory reporting; Equal Remuneration Orders.</t>
  </si>
  <si>
    <t>✅ Super on Paid Parental Leave
(from 1 Jul 2025)</t>
  </si>
  <si>
    <t>Government PPL payments now attract 12% SGC. First payment cycle: FY2025-26 contributions paid to funds July 2026.</t>
  </si>
  <si>
    <t>~$14,500 extra at retirement for mother of 2 (SMC/AustralianSuper analysis). Action: ensure your fund details are correct with DSS/Centrelink.</t>
  </si>
  <si>
    <t>✅ Check your super balance at myGov — compare to ASFA benchmarks by age and gender</t>
  </si>
  <si>
    <t>Median balance — age 55-64 (near retirement)</t>
  </si>
  <si>
    <t>$134,000</t>
  </si>
  <si>
    <t>$194,000</t>
  </si>
  <si>
    <t>−$60,000
(−31%)</t>
  </si>
  <si>
    <t>ABS 2024. Gap at peak earning years — when it matters most.</t>
  </si>
  <si>
    <t>Part-time work prevalence</t>
  </si>
  <si>
    <t>46% of women work part-time vs 17% of men. Part-time = reduced OTE = reduced SGC.</t>
  </si>
  <si>
    <t>Direct reduction in SGC contributions for every year of part-time work.</t>
  </si>
  <si>
    <t>~$15,000 per year of part-time work (on $80k FT salary working 3 days/week)</t>
  </si>
  <si>
    <t>No SGC minimum hours threshold since 1 Jan 2022 (removed $450/mth threshold).</t>
  </si>
  <si>
    <t>Employer-funded PPL with super</t>
  </si>
  <si>
    <t>Negotiate employer top-up of super during parental leave. Many large employers now include super in their PPL policy.</t>
  </si>
  <si>
    <t>Each week of employer PPL with super = ~$128 (on $85k salary × 12%). Check your enterprise agreement or HR policy.</t>
  </si>
  <si>
    <t>Starting annual salary ($)</t>
  </si>
  <si>
    <t>✅ Ensure PPL super is set up correctly with your fund (effective 1 Jul 2025)</t>
  </si>
  <si>
    <t>Median balance — age 35-44</t>
  </si>
  <si>
    <t>$52,000</t>
  </si>
  <si>
    <t>$75,000</t>
  </si>
  <si>
    <t>−$23,000
(−31%)</t>
  </si>
  <si>
    <t>Critical decade — career break years widen the gap permanently.</t>
  </si>
  <si>
    <t>Career breaks for caring</t>
  </si>
  <si>
    <t>Average 4-6 year career break for primary caregivers. No employer SGC during unpaid leave.</t>
  </si>
  <si>
    <t>Zero contributions + lost compound growth. A 5-year break starting age 32 = ~$120k less.</t>
  </si>
  <si>
    <t>~$70–130k per 5-yr break (age 30-35, $80k salary, 7% return)</t>
  </si>
  <si>
    <t>PPL super reform from 1 Jul 2025: super paid on Government PPL payments.</t>
  </si>
  <si>
    <t>SELF-HELP STRATEGIES (PERSONAL)</t>
  </si>
  <si>
    <t>Salary growth rate (% p.a.)</t>
  </si>
  <si>
    <t>✅ Check if employer PPL policy includes super — negotiate if not</t>
  </si>
  <si>
    <t>Median balance — age 25-34</t>
  </si>
  <si>
    <t>$28,000</t>
  </si>
  <si>
    <t>$33,000</t>
  </si>
  <si>
    <t>−$5,000
(−15%)</t>
  </si>
  <si>
    <t>Gap begins small then compounds dramatically through childbearing years.</t>
  </si>
  <si>
    <t>No super on Paid Parental Leave (pre-2025)</t>
  </si>
  <si>
    <t>Until 30 June 2025, Government-funded PPL did NOT attract SGC. Private sector PPL often also excluded super.</t>
  </si>
  <si>
    <t>An 18-week PPL period = ~$2,300 in missed SGC (on avg female salary). Multiplied by children and across workforce = billions in foregone super.</t>
  </si>
  <si>
    <t>~$2,300 per 18-wk PPL period (SGC on average female salary)</t>
  </si>
  <si>
    <t>✅ Fixed from 1 July 2025 — super now payable on Government PPL.</t>
  </si>
  <si>
    <t>Spouse contribution splitting</t>
  </si>
  <si>
    <t>Higher-earning partner transfers up to 85% of their concessional contributions to the lower-earning spouse's super account each financial year.</t>
  </si>
  <si>
    <t>Can add $20,000–$25,000 per year to lower-balance spouse. No tax impact — just a balance transfer between spouses. Requires written agreement — contact your fund.</t>
  </si>
  <si>
    <t>Years working full-time before break</t>
  </si>
  <si>
    <t>✅ Apply for LISTO if earning &lt; $37,000 (automatic via tax return)</t>
  </si>
  <si>
    <t>INCOME &amp; CONTRIBUTION GAP</t>
  </si>
  <si>
    <t>SYSTEMIC / STRUCTURAL CAUSES</t>
  </si>
  <si>
    <t>Spouse contribution tax offset</t>
  </si>
  <si>
    <t>If spouse earns below $37,000 p.a., contributing $3,000 to their super attracts an 18% tax offset (max $540 tax reduction). Phases out at $40,000.</t>
  </si>
  <si>
    <t>Up to $540 tax saving per year. Benefit at $37k income: full $540 offset. Phases out to nil at $40k.</t>
  </si>
  <si>
    <t>Career break — years out</t>
  </si>
  <si>
    <t>Average full-time weekly earnings (AWOTE)</t>
  </si>
  <si>
    <t>$1,653</t>
  </si>
  <si>
    <t>$1,927</t>
  </si>
  <si>
    <t>−$274/wk
(−14.2%)</t>
  </si>
  <si>
    <t>ABS May 2024 AWOTE. Gender pay gap = 14.2%. SGC contributions track this gap directly.</t>
  </si>
  <si>
    <t>Lower lifetime earnings base</t>
  </si>
  <si>
    <t>Lower average earnings (pay gap × years worked × part-time weighting) creates a structurally lower SGC base across the entire career.</t>
  </si>
  <si>
    <t>Compounding on a lower base means the gap grows faster with time — every year of compound growth amplifies the original earnings gap.</t>
  </si>
  <si>
    <t>Cumulative: $60-90k less in super over 35-yr career vs equivalent male</t>
  </si>
  <si>
    <t>Super system reform; mandatory employer contributions on parental leave.</t>
  </si>
  <si>
    <t>Low Income Super Tax Offset (LISTO)</t>
  </si>
  <si>
    <t>Government contributes up to $500 to super for those earning under $37,000. Automatically applied — no action needed.</t>
  </si>
  <si>
    <t>$500 per year free government money for low-income earners. Many part-time workers and those returning from leave qualify.</t>
  </si>
  <si>
    <t>Years working part-time (3 days/wk)</t>
  </si>
  <si>
    <t>IF IN CAREER BREAK</t>
  </si>
  <si>
    <t>Average super balance at retirement</t>
  </si>
  <si>
    <t>$185,000</t>
  </si>
  <si>
    <t>$270,000</t>
  </si>
  <si>
    <t>−$85,000
(−31%)</t>
  </si>
  <si>
    <t>ASFA Retirement Standard research FY2024. Women retire with 31% less super than men.</t>
  </si>
  <si>
    <t>Workforce disruption in peak earning years</t>
  </si>
  <si>
    <t>Career breaks typically occur ages 28-40 — when salary is growing fastest and compound growth has the longest horizon to work.</t>
  </si>
  <si>
    <t>Breaks in peak earning decade have 3× more impact than breaks at age 50+. The "timing" of the break matters as much as the duration.</t>
  </si>
  <si>
    <t>3× multiplier: $50k career break at 32 ≈ $150k loss at retirement vs same break at 50</t>
  </si>
  <si>
    <t>Financial literacy campaigns; early career super top-up strategies.</t>
  </si>
  <si>
    <t>Catch-up concessional contributions</t>
  </si>
  <si>
    <t>If your total super balance is under $500,000 at 30 June, you can carry forward unused concessional cap space for up to 5 years. Allows large catch-up contributions after a career break.</t>
  </si>
  <si>
    <t>Up to $150,000 in one year if 5 years of cap unused (5 × $30,000 = $150,000). Tax deductible — saves marginal rate vs 15% inside super.</t>
  </si>
  <si>
    <t>Part-time salary fraction</t>
  </si>
  <si>
    <t>✅ Make even small voluntary contributions ($50-100/month) to maintain compound growth</t>
  </si>
  <si>
    <t>Proportion retiring with NO super</t>
  </si>
  <si>
    <t>~22%</t>
  </si>
  <si>
    <t>~14%</t>
  </si>
  <si>
    <t>+8pp
more women</t>
  </si>
  <si>
    <t>ASFA 2024. Higher proportion of women exhaust super before Age Pension eligibility.</t>
  </si>
  <si>
    <t>Lower superannuation awareness / engagement</t>
  </si>
  <si>
    <t>Research shows women have lower average super literacy and are less likely to proactively engage with fund investment options or make additional contributions.</t>
  </si>
  <si>
    <t>Lower engagement = default investment options, missed salary sacrifice opportunities, and lower rates of voluntary contribution.</t>
  </si>
  <si>
    <t>Measurable but hard to quantify — industry funds focus on targeted campaigns.</t>
  </si>
  <si>
    <t>Industry fund member education; intra-fund advice; ASIC MoneySmart programs.</t>
  </si>
  <si>
    <t>Salary sacrifice acceleration on return</t>
  </si>
  <si>
    <t>On return to work after career break, immediately maximise salary sacrifice to the concessional cap ($30,000). Redirects income-taxed salary into concessionally-taxed super.</t>
  </si>
  <si>
    <t>At $85k salary: salary sacrifice $18k extra = $5,670/yr tax saving (34% MTR vs 15% contributions tax) + rebuilds super balance faster.</t>
  </si>
  <si>
    <t>SGC rate (%)</t>
  </si>
  <si>
    <t>✅ Ask working partner to set up spouse contribution splitting</t>
  </si>
  <si>
    <t>WORK PATTERN GAP</t>
  </si>
  <si>
    <t>Longevity risk (outliving savings)</t>
  </si>
  <si>
    <t>Women live on average 3.9 years longer than men (ABS Life Tables 2021-23) but retire with significantly less super.</t>
  </si>
  <si>
    <t>The combination of less super and longer life = higher risk of poverty in late retirement. Structural issue: need MORE but have LESS.</t>
  </si>
  <si>
    <t>Women need ~$30k more at retirement to fund the same standard of living as men</t>
  </si>
  <si>
    <t>Longevity products; retirement income covenant (APRA/ASIC 2022).</t>
  </si>
  <si>
    <t>After-tax contributions (non-concessional)</t>
  </si>
  <si>
    <t>Contribute after-tax money up to $120,000/yr (or $360,000 over 3 years using bring-forward rule) to boost balance after career break.</t>
  </si>
  <si>
    <t>Especially powerful for women receiving a redundancy payout, inheritance, or property sale proceeds — large lump sum into super.</t>
  </si>
  <si>
    <t>Investment return (% p.a.)</t>
  </si>
  <si>
    <t>✅ Check insurance is still active — inactive accounts lose default cover</t>
  </si>
  <si>
    <t>Proportion working part-time</t>
  </si>
  <si>
    <t>~46%</t>
  </si>
  <si>
    <t>~17%</t>
  </si>
  <si>
    <t>+29pp
more women</t>
  </si>
  <si>
    <t>ABS Labour Force Survey 2024. Part-time work = lower SGC contributions.</t>
  </si>
  <si>
    <t>RELATIONSHIP STRATEGIES</t>
  </si>
  <si>
    <t>Annual voluntary extra contribution ($)</t>
  </si>
  <si>
    <t>✅ Use catch-up contributions when you return to work</t>
  </si>
  <si>
    <t>Average career break duration (caring)</t>
  </si>
  <si>
    <t>4-6 years</t>
  </si>
  <si>
    <t>&lt; 1 year</t>
  </si>
  <si>
    <t>~4 years
longer</t>
  </si>
  <si>
    <t>Workplace Gender Equality Agency (WGEA) 2024 data.</t>
  </si>
  <si>
    <t>Keep super active during parental leave</t>
  </si>
  <si>
    <t>Make small voluntary contributions (even $50–$100/mth) to keep account active and growing during the career break.</t>
  </si>
  <si>
    <t>Maintains compound growth. $100/mth for 4 years at 7.5% = an extra $5,800 at end of break → grows to ~$48,000 at retirement (30 yrs).</t>
  </si>
  <si>
    <t>Retirement age</t>
  </si>
  <si>
    <t>Average hours in unpaid care work per week</t>
  </si>
  <si>
    <t>16.9 hrs</t>
  </si>
  <si>
    <t>9.7 hrs</t>
  </si>
  <si>
    <t>+7.2 hrs
more women</t>
  </si>
  <si>
    <t>ABS Time Use Survey. Unpaid care = foregone earnings + super contributions.</t>
  </si>
  <si>
    <t xml:space="preserve">  SECTION D — PAID PARENTAL LEAVE SUPER REFORM (EFFECTIVE 1 JULY 2025)</t>
  </si>
  <si>
    <t>Review insurance during career break</t>
  </si>
  <si>
    <t>Check that income protection and TPD insurance remain active and sufficient during career break period.</t>
  </si>
  <si>
    <t>Inactive accounts can lose default insurance. Low-balance accounts (&lt; $6,000) auto-transfer to ATO after 16 months inactive.</t>
  </si>
  <si>
    <t>ON RETURN TO WORK</t>
  </si>
  <si>
    <t>Women as primary caregiver on PPL</t>
  </si>
  <si>
    <t>&gt;90%</t>
  </si>
  <si>
    <t>&lt;10%</t>
  </si>
  <si>
    <t>Structural
driver of gap</t>
  </si>
  <si>
    <t>DSS Paid Parental Leave scheme statistics FY2024.</t>
  </si>
  <si>
    <t>PPL Reform — Parameter</t>
  </si>
  <si>
    <t>Pre-Reform
(to 30 Jun 2025)</t>
  </si>
  <si>
    <t>Post-Reform
(from 1 Jul 2025)</t>
  </si>
  <si>
    <t>Calculator
(Yellow = input)</t>
  </si>
  <si>
    <t>Source / Note</t>
  </si>
  <si>
    <t>Model retirement income gap as a couple</t>
  </si>
  <si>
    <t>Use the Parameters sheet to model both partners' projections side-by-side. Identify the combined income gap and plan spousal strategies together.</t>
  </si>
  <si>
    <t>Framing super as a household balance sheet — not individual accounts — enables more effective joint planning and addresses structural inequity.</t>
  </si>
  <si>
    <t>PROJECTED OUTCOMES</t>
  </si>
  <si>
    <t>✅ Immediately maximise salary sacrifice to concessional cap ($30,000/yr)</t>
  </si>
  <si>
    <t>RETIREMENT OUTCOME GAP</t>
  </si>
  <si>
    <t>Total working years (excl. break)</t>
  </si>
  <si>
    <t>✅ Use carry-forward unused cap — up to 5 years of unused cap available</t>
  </si>
  <si>
    <t>Median income in retirement (all sources)</t>
  </si>
  <si>
    <t>$26,700</t>
  </si>
  <si>
    <t>$36,600</t>
  </si>
  <si>
    <t>−$9,900
(−27%)</t>
  </si>
  <si>
    <t>ASFA Retirement Standard 2024. Includes Age Pension.</t>
  </si>
  <si>
    <t>Law reference</t>
  </si>
  <si>
    <t>No super on PPL</t>
  </si>
  <si>
    <t>Paid Parental Leave Amendment (Superannuation) Act 2023</t>
  </si>
  <si>
    <t>Royal Assent: Nov 2023. Effective: 1 July 2025.</t>
  </si>
  <si>
    <t>Approx. super at retirement ($)</t>
  </si>
  <si>
    <t>✅ Review and update investment option — consider higher growth for long horizon</t>
  </si>
  <si>
    <t>Proportion wholly dependent on Age Pension</t>
  </si>
  <si>
    <t>~40%</t>
  </si>
  <si>
    <t>~28%</t>
  </si>
  <si>
    <t>+12pp
more women</t>
  </si>
  <si>
    <t>Treasury Intergenerational Report 2023.</t>
  </si>
  <si>
    <t>Who is covered?</t>
  </si>
  <si>
    <t>Only employer-funded PPL attracted SGC</t>
  </si>
  <si>
    <t>Government-funded PPL (up to 18 weeks base + up to 12 wks partner)</t>
  </si>
  <si>
    <t>All eligible parents — primary and secondary caregivers.</t>
  </si>
  <si>
    <t>Retirement gap (man − woman) ($)</t>
  </si>
  <si>
    <t>"—"</t>
  </si>
  <si>
    <t>Women outliving men (avg. life expectancy)</t>
  </si>
  <si>
    <t>85.1 years</t>
  </si>
  <si>
    <t>81.2 years</t>
  </si>
  <si>
    <t>+3.9 years
longer</t>
  </si>
  <si>
    <t>ABS Life Tables 2021-23. Women need MORE super — but retire with LESS.</t>
  </si>
  <si>
    <t>Payment mechanism</t>
  </si>
  <si>
    <t>SGC calculated on Government PPL payment amount. Paid annually to super fund.</t>
  </si>
  <si>
    <t>ATO collects and distributes annually from 1 Jul 2026.</t>
  </si>
  <si>
    <t>Gap as % of male balance</t>
  </si>
  <si>
    <t>COUPLE STRATEGIES</t>
  </si>
  <si>
    <t>PPL payment rate</t>
  </si>
  <si>
    <t>No super</t>
  </si>
  <si>
    <t>12% SGC on Government PPL payments</t>
  </si>
  <si>
    <t>At current national minimum wage: ~$915/wk (FY2025-26).</t>
  </si>
  <si>
    <t>Annual income at 5% drawdown ($)</t>
  </si>
  <si>
    <t>✅ Model both partners' super in the 30-Year Projection sheet</t>
  </si>
  <si>
    <t>PPL SUPER BENEFIT CALCULATOR</t>
  </si>
  <si>
    <t>Woman's income shortfall vs man ($/yr)</t>
  </si>
  <si>
    <t>✅ Consider spouse contribution transfer — equalise balances</t>
  </si>
  <si>
    <t xml:space="preserve">  SECTION C — CAREER BREAK IMPACT CALCULATOR</t>
  </si>
  <si>
    <t>PPL payment rate ($ per week)</t>
  </si>
  <si>
    <t>Extra years woman must rely on Age Pension</t>
  </si>
  <si>
    <t>✅ Review joint super plan each July as a household balance sheet</t>
  </si>
  <si>
    <t>Without
Career Break</t>
  </si>
  <si>
    <t>With Career
Break</t>
  </si>
  <si>
    <t>Gap Created
by Break</t>
  </si>
  <si>
    <t>Catch-up
Required</t>
  </si>
  <si>
    <t>PPL duration — primary caregiver (weeks)</t>
  </si>
  <si>
    <t>Current age</t>
  </si>
  <si>
    <t>SGC rate on PPL payments (%)</t>
  </si>
  <si>
    <t>KEY SOURCES</t>
  </si>
  <si>
    <t>Annual gross salary (full-time) ($)</t>
  </si>
  <si>
    <t>Number of children on PPL</t>
  </si>
  <si>
    <t>Super Members Council: supermemberscouncil.com.au</t>
  </si>
  <si>
    <t>Career break duration (years)</t>
  </si>
  <si>
    <t>Years to retirement from last PPL</t>
  </si>
  <si>
    <t>WGEA (Workplace Gender Equality Agency): wgea.gov.au</t>
  </si>
  <si>
    <t>Age when break starts</t>
  </si>
  <si>
    <t>ASFA Gender Gap research: superannuation.asn.au</t>
  </si>
  <si>
    <t>DSS Paid Parental Leave: dss.gov.au/ppl</t>
  </si>
  <si>
    <t>PPL SUPER REFORM — CALCULATED BENEFIT</t>
  </si>
  <si>
    <t>ATO: ato.gov.au/super/contributions/spouse-contributions</t>
  </si>
  <si>
    <t>Years until retirement (age 67)</t>
  </si>
  <si>
    <t>SGC per PPL period ($)</t>
  </si>
  <si>
    <t>Super paid per 18-week PPL period at 12% SGC rate</t>
  </si>
  <si>
    <t>ASIC MoneySmart: moneysmart.gov.au/super/women-and-super</t>
  </si>
  <si>
    <t>Total SGC for all children ($)</t>
  </si>
  <si>
    <t>e.g. 2 children × SGC per period</t>
  </si>
  <si>
    <t>Future value at retirement ($)</t>
  </si>
  <si>
    <t>FV of lump sum at retirement after compound growth</t>
  </si>
  <si>
    <t>Per-child retirement benefit ($)</t>
  </si>
  <si>
    <t>Per child. SMC analysis: ~$7,250 per child → ~$14,500 for 2 children</t>
  </si>
  <si>
    <t xml:space="preserve">  CHART: MEDIAN SUPER BALANCE BY AGE — WOMEN vs MEN (ABS 2024)</t>
  </si>
  <si>
    <t>Benefit vs AustralianSuper estimate ($14,500)</t>
  </si>
  <si>
    <t>Difference from AustralianSuper/SMC published figure of $14,500 for mother of 2</t>
  </si>
  <si>
    <t>Women ($)</t>
  </si>
  <si>
    <t>Men ($)</t>
  </si>
  <si>
    <t>Annual equivalent income boost ($)</t>
  </si>
  <si>
    <t>Equivalent annual income increase from PPL super reform</t>
  </si>
  <si>
    <t>25-34</t>
  </si>
  <si>
    <t>POPULATION IMPACT (Australia-wide)</t>
  </si>
  <si>
    <t>35-44</t>
  </si>
  <si>
    <t>Estimated parents benefitting per year</t>
  </si>
  <si>
    <t>~180,000 families per year</t>
  </si>
  <si>
    <t>DSS estimate: ~180,000 families annually. Source: DSS Budget 2024-25</t>
  </si>
  <si>
    <t>45-54</t>
  </si>
  <si>
    <t>Aggregate super boost to workforce (est.)</t>
  </si>
  <si>
    <t>~$430M per year in additional super</t>
  </si>
  <si>
    <t>Estimated aggregate impact on Australian super balances p.a.</t>
  </si>
  <si>
    <t>55-64</t>
  </si>
  <si>
    <t>Monthly catch-up contribs needed to close gap ($)</t>
  </si>
  <si>
    <t>Annual non-concessional contribution needed ($)</t>
  </si>
  <si>
    <t>DISCLAIMER &amp; SOURCES: Gender gap statistics: ABS Characteristics of Employment Survey 2024; ASFA Retirement Standard FY2024-25; ABS Labour Force Survey 2024; WGEA Gender Pay Gap Analysis 2024; Treasury Intergenerational Report 2023. PPL super reform: Paid Parental Leave Amendment (Superannuation) Act 2023. $14,500 figure: Super Members Council / AustralianSuper analysis, 2024. Lifetime projection is illustrative — actual outcomes depend on individual circumstances. This sheet is for educational purposes only and does not constitute financial product advice (Corporations Act 2001 s.766B). Seek advice from a licensed AFS adviser. Source: ato.gov.au · asfa.asn.au · wgea.gov.au · supermemberscouncil.com.au</t>
  </si>
  <si>
    <t>🏠  FIRST HOME SUPER SAVER SCHEME (FHSS)  |  ATO FY2025-26  ·  $50k Current Cap  ·  $60k Proposed</t>
  </si>
  <si>
    <t>Scheme Rules  ·  Tax Advantage Calculator  ·  Step-by-Step Guide  ·  Cap Scenarios  ·  Vehicle Comparison  ·  Political Debate  ·  Checklist</t>
  </si>
  <si>
    <t xml:space="preserve">  SECTION A — FHSS SCHEME: RULES, ELIGIBILITY &amp; ATO PARAMETERS (FY2025-26)</t>
  </si>
  <si>
    <t xml:space="preserve">  SECTION B — FHSS TAX ADVANTAGE CALCULATOR (vs Savings Account or Investment)</t>
  </si>
  <si>
    <t xml:space="preserve">  SECTION C — HOW TO USE THE FHSS SCHEME: STEP-BY-STEP ATO GUIDE</t>
  </si>
  <si>
    <t xml:space="preserve">  SECTION G — ELIGIBILITY CHECKLIST &amp; ACTION PLAN</t>
  </si>
  <si>
    <t xml:space="preserve">  QUICK REFERENCE</t>
  </si>
  <si>
    <t>Current Rule
(FY2025-26)</t>
  </si>
  <si>
    <t>Proposed /
Debated Change</t>
  </si>
  <si>
    <t>Key Detail</t>
  </si>
  <si>
    <t>ATO Reference</t>
  </si>
  <si>
    <t>Calculator Parameter</t>
  </si>
  <si>
    <t>🏦 FHSS
(Inside Super)</t>
  </si>
  <si>
    <t>💰 Standard
Savings Account</t>
  </si>
  <si>
    <t>📈 ETF/Shares
(Outside Super)</t>
  </si>
  <si>
    <t>How / What to Do</t>
  </si>
  <si>
    <t>Pitfalls &amp; Tips</t>
  </si>
  <si>
    <t>Status / Notes
(editable)</t>
  </si>
  <si>
    <t>SCHEME ELIGIBILITY</t>
  </si>
  <si>
    <t>Annual gross salary ($)</t>
  </si>
  <si>
    <t>PHASE 1 — SAVING INSIDE SUPER</t>
  </si>
  <si>
    <t>ELIGIBILITY CHECKS</t>
  </si>
  <si>
    <t>FHSS KEY NUMBERS FY2025-26</t>
  </si>
  <si>
    <t>Who qualifies?</t>
  </si>
  <si>
    <t>Australian residents aged 18+</t>
  </si>
  <si>
    <t>No change proposed</t>
  </si>
  <si>
    <t>Must never have owned property in Australia or overseas. Applies to property you intend to live in (not investment).</t>
  </si>
  <si>
    <t>s.316-15 ITAA97</t>
  </si>
  <si>
    <t>Annual voluntary contribution ($)</t>
  </si>
  <si>
    <t>Step 1 — Check eligibility</t>
  </si>
  <si>
    <t>Confirm: (1) aged 18+, (2) never owned Australian property, (3) intend to occupy as principal residence.</t>
  </si>
  <si>
    <t>⚠ Previous property ownership anywhere in Australia disqualifies you — even partial ownership (inheritance, joint purchase).</t>
  </si>
  <si>
    <t>Confirm: aged 18 or over</t>
  </si>
  <si>
    <t>Annual contribution cap: $15,000 per person</t>
  </si>
  <si>
    <t>First home ownership test</t>
  </si>
  <si>
    <t>Never owned interest in residential premises in Australia</t>
  </si>
  <si>
    <t>Includes any property held on your own or jointly at any time. Previous property ownership (anywhere in Australia) disqualifies you.</t>
  </si>
  <si>
    <t>s.316-20 ITAA97</t>
  </si>
  <si>
    <t>Number of years saving</t>
  </si>
  <si>
    <t>Step 2 — Choose contribution type</t>
  </si>
  <si>
    <t>Option A: Salary sacrifice (pre-tax) — ask employer to redirect salary. Option B: Personal after-tax contribution then claim tax deduction (s.290-180 notice).</t>
  </si>
  <si>
    <t>Do NOT let employer SGC (the 12%) count — it does not. Only your voluntary contributions above SGC are eligible.</t>
  </si>
  <si>
    <t>Confirm: never owned property in Australia (or overseas)</t>
  </si>
  <si>
    <t>Lifetime releasable cap: $50,000 per person</t>
  </si>
  <si>
    <t>Age requirement</t>
  </si>
  <si>
    <t>Minimum 18 years at time of release request</t>
  </si>
  <si>
    <t>No maximum age limit. Can save over multiple years before requesting release.</t>
  </si>
  <si>
    <t>Savings account interest rate (% p.a.)</t>
  </si>
  <si>
    <t>Step 3 — Contribute up to $15,000 per year</t>
  </si>
  <si>
    <t>Contribute up to $15,000 per financial year. Track contributions carefully — the annual cap is per financial year.</t>
  </si>
  <si>
    <t>⚠ If you exceed the $15k annual cap, the excess is NOT eligible. Keep records of each contribution with dates.</t>
  </si>
  <si>
    <t>Confirm: intend to occupy as principal residence</t>
  </si>
  <si>
    <t>Couple combined cap: $100,000 (2 × $50k)</t>
  </si>
  <si>
    <t>Super fund eligibility</t>
  </si>
  <si>
    <t>Any APRA-regulated fund that accepts voluntary contributions</t>
  </si>
  <si>
    <t>Most industry, retail, and public sector funds are eligible. SMSFs may accept — check your trust deed.</t>
  </si>
  <si>
    <t>ATO FHSS guidance</t>
  </si>
  <si>
    <t>ETF/investment return (% p.a.)</t>
  </si>
  <si>
    <t>Step 4 — Accumulate over up to 4+ years</t>
  </si>
  <si>
    <t>No minimum saving period. Contribute each year until you reach the $50k total cap. At $15k/yr: maximum cap reached in 3 years 4 months (approx.).</t>
  </si>
  <si>
    <t>The $50k cap is the maximum amount of contributions you can release — not the total amount in your account (which includes employer SGC).</t>
  </si>
  <si>
    <t>Super fund accepts FHSS voluntary contributions</t>
  </si>
  <si>
    <t>Deemed earnings rate: ~7.9% p.a. (bond rate + 3%)</t>
  </si>
  <si>
    <t>CONTRIBUTION RULES &amp; CAPS</t>
  </si>
  <si>
    <t>FHSS deemed earnings rate (% p.a.)</t>
  </si>
  <si>
    <t>PHASE 2 — REQUESTING RELEASE</t>
  </si>
  <si>
    <t>CONTRIBUTION STRATEGY</t>
  </si>
  <si>
    <t>Annual contribution cap</t>
  </si>
  <si>
    <t>$15,000 per financial year</t>
  </si>
  <si>
    <t>Cap increase under review — some proposals $20k-$25k p.a.</t>
  </si>
  <si>
    <t>Only concessional (pre-tax) and non-concessional (after-tax) voluntary contributions count. Employer SGC does NOT count towards FHSS.</t>
  </si>
  <si>
    <t>s.316-25 ITAA97</t>
  </si>
  <si>
    <t>Capital gains tax rate (50% discount)</t>
  </si>
  <si>
    <t>Step 5 — Get an FHSS determination (optional)</t>
  </si>
  <si>
    <t>Apply via myGov → ATO → Super → FHSS → "Request FHSS determination". ATO will tell you your eligible FHSS amount — no cost, no obligation.</t>
  </si>
  <si>
    <t>The determination is valid for 14 days. You can request multiple determinations before formally requesting release.</t>
  </si>
  <si>
    <t>Calculate optimal annual contribution amount (max $15,000)</t>
  </si>
  <si>
    <t>TAX SAVING BY INCOME (on $50k contributions)</t>
  </si>
  <si>
    <t>Total lifetime cap (maximum releasable)</t>
  </si>
  <si>
    <t>$50,000 per person
($100k for couples)</t>
  </si>
  <si>
    <t>🔥 Proposed: $60,000+
Politically active in 2025</t>
  </si>
  <si>
    <t>The $50k cap increased from $30k in July 2022. Further increase to $60k has been floated by multiple parties.</t>
  </si>
  <si>
    <t>s.316-25 ITAA97
(amended 2022)</t>
  </si>
  <si>
    <t>Step 6 — Sign purchase contract or construction contract</t>
  </si>
  <si>
    <t>Sign a contract to purchase a first home. You can request release BEFORE signing (up to 14 days before expected signing).</t>
  </si>
  <si>
    <t>⚠ You must sign a contract within 12 months of your first FHSS release. Missing this window triggers the 20% FHSS tax on the full released amount.</t>
  </si>
  <si>
    <t>Choose: salary sacrifice vs personal deductible contribution</t>
  </si>
  <si>
    <t>$45,001–$135,000 (MTR 34%): save ~$9,500</t>
  </si>
  <si>
    <t>Which contributions are eligible?</t>
  </si>
  <si>
    <t>Voluntary concessional (salary sacrifice / personal deductible) AND voluntary non-concessional contributions</t>
  </si>
  <si>
    <t>Do NOT include employer mandatory SGC contributions. Only contributions you actively make above the SGC.</t>
  </si>
  <si>
    <t>Step 7 — Request release via ATO myGov</t>
  </si>
  <si>
    <t>myGov → ATO → Super → FHSS → "Request release". ATO instructs your super fund to release the eligible amount.</t>
  </si>
  <si>
    <t>Processing takes 15-25 business days. Plan this into your settlement timeline. Do NOT plan to use FHSS funds the day after signing.</t>
  </si>
  <si>
    <t>If personal contribution: prepare s.290-180 intent-to-deduct notice</t>
  </si>
  <si>
    <t>$135,001–$190,000 (MTR 41%): save ~$13,000</t>
  </si>
  <si>
    <t>TAX TREATMENT</t>
  </si>
  <si>
    <t>Your marginal tax rate (auto-calculated)</t>
  </si>
  <si>
    <t>Step 8 — ATO withholds tax then pays you</t>
  </si>
  <si>
    <t>ATO withholds tax at your MTR minus 30% offset, then pays the net amount direct to you. Note: non-concessional contributions are released TAX-FREE.</t>
  </si>
  <si>
    <t>The ATO pays YOU directly — not your conveyancer. You then use these funds as part of your deposit/settlement.</t>
  </si>
  <si>
    <t>Track FHSS contributions separately — keep records</t>
  </si>
  <si>
    <t>Above $190,000 (MTR 47%): save ~$16,000</t>
  </si>
  <si>
    <t>Tax on contributions going in (concessional)</t>
  </si>
  <si>
    <t>15% contributions tax inside super
(vs marginal rate outside)</t>
  </si>
  <si>
    <t>No change</t>
  </si>
  <si>
    <t>Tax saving = (your MTR − 15%) × amount contributed. At 34.5% MTR (inc. Medicare) → save 19.5¢ per dollar in super.</t>
  </si>
  <si>
    <t>s.295-190 ITAA97</t>
  </si>
  <si>
    <t>Concessional tax rate (inside super)</t>
  </si>
  <si>
    <t>"N/A"</t>
  </si>
  <si>
    <t>PHASE 3 — PURCHASE &amp; COMPLETION</t>
  </si>
  <si>
    <t>Confirm with fund: contributions flagged as voluntary (not SGC)</t>
  </si>
  <si>
    <t>Under $45,000 (MTR 21%): save ~$3,000</t>
  </si>
  <si>
    <t>Investment earnings inside super</t>
  </si>
  <si>
    <t>Taxed at 15% inside fund</t>
  </si>
  <si>
    <t>Your contributions earn investment returns at the fund's rate. ATO uses a deemed rate for calculating associated earnings on release.</t>
  </si>
  <si>
    <t>s.295-465 ITAA97</t>
  </si>
  <si>
    <t>Tax saving on each dollar contributed</t>
  </si>
  <si>
    <t>"Nil"</t>
  </si>
  <si>
    <t>Step 9 — Apply FHSS funds to purchase</t>
  </si>
  <si>
    <t>Use the released net funds as part of your home purchase deposit or settlement funds. There is no restriction on how the money is applied within the purchase.</t>
  </si>
  <si>
    <t>FHSS funds must be used for a first home in Australia. Cannot be used for investment property.</t>
  </si>
  <si>
    <t>BEFORE REQUESTING RELEASE</t>
  </si>
  <si>
    <t>Tax on release (withdrawal)</t>
  </si>
  <si>
    <t>Taxed at marginal rate MINUS 30% tax offset</t>
  </si>
  <si>
    <t>Effective tax rate on released amount = (MTR − 30%). E.g. 34.5% MTR → effective 4.5% tax on withdrawal. Non-concessional portion released TAX-FREE.</t>
  </si>
  <si>
    <t>s.316-195 ITAA97</t>
  </si>
  <si>
    <t>Tax saved on contributions (all years) ($)</t>
  </si>
  <si>
    <t>"$0"</t>
  </si>
  <si>
    <t>Step 10 — Notify ATO of completion</t>
  </si>
  <si>
    <t>After settlement, notify ATO via myGov that the purchase is complete.</t>
  </si>
  <si>
    <t>If purchase falls through after release, you must either re-contribute to super within 12 months or pay the 20% FHSS tax.</t>
  </si>
  <si>
    <t>Request FHSS determination from ATO myGov (optional)</t>
  </si>
  <si>
    <t>KEY DEADLINES</t>
  </si>
  <si>
    <t>Deemed earnings rate (ATO)</t>
  </si>
  <si>
    <t>Short-term bond rate + 3%
(approx. 7–8% p.a. FY2025-26)</t>
  </si>
  <si>
    <t>ATO uses a "deemed" earnings rate to calculate the associated earnings on your FHSS contributions. Actual earnings stay in your fund.</t>
  </si>
  <si>
    <t>ATO FHSS calculator</t>
  </si>
  <si>
    <t>After-tax contributions available to save ($)</t>
  </si>
  <si>
    <t>KEY DEADLINES SUMMARY</t>
  </si>
  <si>
    <t>Brief conveyancer on FHSS processing timeline (15-25 days)</t>
  </si>
  <si>
    <t>Contributions: by 30 June each financial year</t>
  </si>
  <si>
    <t>RELEASE &amp; USE RULES</t>
  </si>
  <si>
    <t>Accumulated savings/balance after years ($)</t>
  </si>
  <si>
    <t>Annual contribution window</t>
  </si>
  <si>
    <t>1 July to 30 June each year — contributions must be made in the financial year they are counted (no backdating).</t>
  </si>
  <si>
    <t>Do not miss 30 June for salary sacrifice — last payroll before EOFY is critical.</t>
  </si>
  <si>
    <t>Ensure savings account available for temporary bridge if needed</t>
  </si>
  <si>
    <t>Contract signing: within 12 months of first release</t>
  </si>
  <si>
    <t>When can you request release?</t>
  </si>
  <si>
    <t>Once you have signed a contract to purchase a home OR construction contract signed</t>
  </si>
  <si>
    <t>Request an FHSS determination from ATO first (no fee, no obligation). Then request release once purchase is confirmed.</t>
  </si>
  <si>
    <t>s.316-130 ITAA97</t>
  </si>
  <si>
    <t>Tax on withdrawal / release</t>
  </si>
  <si>
    <t>"Nil (already taxed)"</t>
  </si>
  <si>
    <t>Release-to-contract window</t>
  </si>
  <si>
    <t>12 months from first FHSS release to sign a purchase contract.</t>
  </si>
  <si>
    <t>⚠ If first release is 1 August, contract must be signed by 31 July the next year.</t>
  </si>
  <si>
    <t>AFTER SIGNING CONTRACT</t>
  </si>
  <si>
    <t>ATO processing: allow 15-25 business days</t>
  </si>
  <si>
    <t>Timeframe to use funds after release</t>
  </si>
  <si>
    <t>Must sign contract within 12 months of release
(or request extension)</t>
  </si>
  <si>
    <t>If you do not buy within 12 months, you must re-contribute to super or pay extra 20% FHSS tax on the released amount.</t>
  </si>
  <si>
    <t>s.316-175 ITAA97</t>
  </si>
  <si>
    <t>NET amount available for deposit ($)</t>
  </si>
  <si>
    <t>Processing time allowance</t>
  </si>
  <si>
    <t>Allow 15-25 business days from release request to receipt of funds.</t>
  </si>
  <si>
    <t>Build this into your exchange and settlement timeline with your conveyancer.</t>
  </si>
  <si>
    <t>Request FHSS release via ATO myGov ASAP after signing</t>
  </si>
  <si>
    <t>What if you change your mind?</t>
  </si>
  <si>
    <t>Re-contribute to super OR pay 20% penalty tax on the released amount</t>
  </si>
  <si>
    <t>⚠ Only use FHSS if you are genuinely intending to buy within the timeframe. The 20% penalty makes "just in case" use expensive.</t>
  </si>
  <si>
    <t>FHSS ADVANTAGE vs savings account ($)</t>
  </si>
  <si>
    <t>Notify employer/fund if salary sacrifice being stopped post-purchase</t>
  </si>
  <si>
    <t>PROPOSED REFORMS (as at April 2026)</t>
  </si>
  <si>
    <t>Can both partners use FHSS?</t>
  </si>
  <si>
    <t>✅ Yes — each person can access up to $50,000
Joint total: up to $100,000</t>
  </si>
  <si>
    <t>If cap rises to $60k: joint total $120,000</t>
  </si>
  <si>
    <t>Each buyer is assessed individually. Common for couples to both contribute and release FHSS for same property.</t>
  </si>
  <si>
    <t>FHSS ADVANTAGE as % uplift</t>
  </si>
  <si>
    <t>Notify ATO of purchase completion after settlement</t>
  </si>
  <si>
    <t>Cap increase to $60k: being actively debated</t>
  </si>
  <si>
    <t>Annual limit increase: various proposals ($20k-$25k)</t>
  </si>
  <si>
    <t xml:space="preserve">  SECTION F — POLITICAL DEBATE: FHSS CAP INCREASE &amp; HOUSING ACCESS</t>
  </si>
  <si>
    <t>ATO FHSS page: ato.gov.au/fhss</t>
  </si>
  <si>
    <t>🔴 Primary source</t>
  </si>
  <si>
    <t>Source: Mozo.com.au / Parliamentary debates 2025</t>
  </si>
  <si>
    <t xml:space="preserve">  SECTION D — CAP SCENARIOS: $50k CURRENT vs $60k PROPOSED vs $30k OLD</t>
  </si>
  <si>
    <t>Position / Proposal</t>
  </si>
  <si>
    <t>Key Argument</t>
  </si>
  <si>
    <t>Analysis / Evidence</t>
  </si>
  <si>
    <t>ASIC MoneySmart: moneysmart.gov.au/buying-a-home/fhss</t>
  </si>
  <si>
    <t>🔴 Consumer guide</t>
  </si>
  <si>
    <t>Scenario Parameter</t>
  </si>
  <si>
    <t>📜 $30k OLD CAP
(Pre-Jul 2022)</t>
  </si>
  <si>
    <t>📋 $50k CURRENT CAP
(FY2025-26)</t>
  </si>
  <si>
    <t>🔥 $60k PROPOSED
(Future reform)</t>
  </si>
  <si>
    <t>💑 $60k × 2
(Couple combined)</t>
  </si>
  <si>
    <t xml:space="preserve">  SECTION E — FHSS vs OTHER SAVINGS VEHICLES: COMPARISON</t>
  </si>
  <si>
    <t>CURRENT POLICY LANDSCAPE (as at April 2026)</t>
  </si>
  <si>
    <t>ATO FHSS calculator: ato.gov.au/fhss-calculator</t>
  </si>
  <si>
    <t>🟠 Tool</t>
  </si>
  <si>
    <t>LEGISLATIVE REFERENCES</t>
  </si>
  <si>
    <t>Your annual salary ($)</t>
  </si>
  <si>
    <t>🏠 FHSS
(Super)</t>
  </si>
  <si>
    <t>🏦 High-Interest
Savings Account</t>
  </si>
  <si>
    <t>📈 ETF / Managed
Fund (Outside)</t>
  </si>
  <si>
    <t>Current FHSS cap: $50,000 per person</t>
  </si>
  <si>
    <t>Cap doubled from $30k to $50k in July 2022 under Coalition then Labor government.</t>
  </si>
  <si>
    <t>The $50k cap equates to ~3.3 years of saving at $15k/yr. At median Australian property prices ($780k+), $50k represents only ~6.4% of a deposit.</t>
  </si>
  <si>
    <t>Mozo FHSS analysis: mozo.com.au/home-loans/first-home-super-saver</t>
  </si>
  <si>
    <t>🟠 Rate comparisons</t>
  </si>
  <si>
    <t>s.316-15 ITAA97 — eligibility requirements</t>
  </si>
  <si>
    <t>RETURNS &amp; TAX</t>
  </si>
  <si>
    <t>Annual limit: $15,000 per financial year</t>
  </si>
  <si>
    <t>Annual cap limits speed of accumulation. At $15k/yr, takes 40 months to reach the $50k lifetime cap.</t>
  </si>
  <si>
    <t>Many advocates argue the annual cap is the binding constraint — not the lifetime cap — for buyers on typical salaries.</t>
  </si>
  <si>
    <t>Contact your super fund for contribution acceptance confirmation</t>
  </si>
  <si>
    <t>🟠 Fund-specific</t>
  </si>
  <si>
    <t>s.316-25 ITAA97 — contribution and cap rules</t>
  </si>
  <si>
    <t>Pre-tax saving on contributions</t>
  </si>
  <si>
    <t>✅ Yes — contribute pre-tax (salary sacrifice). 15% contributions tax vs MTR.</t>
  </si>
  <si>
    <t>❌ No — contributions from after-tax salary.</t>
  </si>
  <si>
    <t>CASE FOR RAISING THE CAP TO $60k+</t>
  </si>
  <si>
    <t>s.316-130 ITAA97 — release conditions</t>
  </si>
  <si>
    <t>Marginal tax rate (auto-calc) (%)</t>
  </si>
  <si>
    <t>Earnings tax rate</t>
  </si>
  <si>
    <t>15% on earnings inside super
(but deemed rate used for FHSS)</t>
  </si>
  <si>
    <t>Your MTR on all interest earned (e.g., 34% at $90k)</t>
  </si>
  <si>
    <t>Your MTR on dividends; 50% CGT discount on gains held &gt;12 months</t>
  </si>
  <si>
    <t>Housing affordability has deteriorated significantly</t>
  </si>
  <si>
    <t>Median property prices in Sydney ($1.4M+), Melbourne ($900k+), Brisbane ($850k+) have surged faster than wages. A $50k FHSS release is a smaller % of a deposit than when the scheme launched.</t>
  </si>
  <si>
    <t>RBA/CoreLogic data: property prices up ~40% over 5 years. FHSS cap has not kept pace. Real value of the cap has FALLEN in housing terms.</t>
  </si>
  <si>
    <t>s.316-175 ITAA97 — 20% tax if not used for home</t>
  </si>
  <si>
    <t>Tax on withdrawal/access</t>
  </si>
  <si>
    <t>MTR minus 30% tax offset on concessional component. Non-concessional component tax-FREE.</t>
  </si>
  <si>
    <t>No tax on principal; all interest already taxed annually.</t>
  </si>
  <si>
    <t>CGT on gains. Capital return is tax-free.</t>
  </si>
  <si>
    <t>Comparable international schemes are more generous</t>
  </si>
  <si>
    <t>Canada's First Home Savings Account (FHSA) allows C$40k annual and C$40k lifetime. UK Lifetime ISA offers 25% government bonus on up to £4,000/yr.</t>
  </si>
  <si>
    <t>The FHSS compares unfavourably to Canadian FHSA on both annual limits and tax treatment. No direct government top-up — only indirect tax saving.</t>
  </si>
  <si>
    <t>s.290-180 ITAA97 — intent-to-deduct notice</t>
  </si>
  <si>
    <t>SCENARIO COMPARISON OUTPUTS</t>
  </si>
  <si>
    <t>PRACTICAL FACTORS</t>
  </si>
  <si>
    <t>Bipartisan support for gradual increases</t>
  </si>
  <si>
    <t>Opposition (Liberal/National) and cross-bench parties have proposed $60k-$75k caps. Housing policy is a key election issue — all parties have housing reform packages.</t>
  </si>
  <si>
    <t>Source: Mozo.com.au analysis 2025. "Predictions the government will raise the cap to at least $60,000" — widely reported across financial media.</t>
  </si>
  <si>
    <t>Maximum releasable contributions ($)</t>
  </si>
  <si>
    <t>Liquidity / accessibility</t>
  </si>
  <si>
    <t>⚠ Locked until purchase or 20% penalty. Must use within 12 months.</t>
  </si>
  <si>
    <t>✅ Full access anytime. No restrictions.</t>
  </si>
  <si>
    <t>⚠ Can sell anytime but market price risk. Settlement T+2.</t>
  </si>
  <si>
    <t>CASE AGAINST BROADENING SUPER FOR HOUSING</t>
  </si>
  <si>
    <t>Years to reach cap (at $15k/yr)</t>
  </si>
  <si>
    <t>Government-backed guarantee</t>
  </si>
  <si>
    <t>❌ Not applicable — inside super.</t>
  </si>
  <si>
    <t>✅ Up to $250,000 per institution under Financial Claims Scheme.</t>
  </si>
  <si>
    <t>❌ No guarantee — investment risk.</t>
  </si>
  <si>
    <t>Super is for retirement — not housing</t>
  </si>
  <si>
    <t>Compulsory super was established to fund retirement, not provide a deposit pool. Using super for housing reduces retirement savings — the core policy purpose.</t>
  </si>
  <si>
    <t>Treasury modelling: drawing $50k from super at age 30 reduces retirement balance by ~$130k-$180k (compound effect over 35 years at 7% return).</t>
  </si>
  <si>
    <t>Tax saved on contributions ($)</t>
  </si>
  <si>
    <t>Complexity</t>
  </si>
  <si>
    <t>⚠ Medium — ATO application, determination, release request required.</t>
  </si>
  <si>
    <t>✅ Very simple — open account, transfer money.</t>
  </si>
  <si>
    <t>⚠ Medium — brokerage account, tax reporting (div statements), CGT calc.</t>
  </si>
  <si>
    <t>May increase house prices (demand-side stimulus)</t>
  </si>
  <si>
    <t>Giving more purchasing power to first home buyers risks inflating prices further, with the benefit captured by vendors — not buyers.</t>
  </si>
  <si>
    <t>RBA and academic research: demand-side housing subsidies tend to be capitalised into prices, benefiting sellers rather than improving buyer affordability long-term.</t>
  </si>
  <si>
    <t>Accumulated value at release (deemed rate) ($)</t>
  </si>
  <si>
    <t>Risk of loss</t>
  </si>
  <si>
    <t>Low risk — super fund balanced option. Deemed rate calculation insulates from market.</t>
  </si>
  <si>
    <t>Zero risk on principal (FCS protected up to $250k).</t>
  </si>
  <si>
    <t>Market risk — value can fall. Poor timing (e.g., crash before purchase) could reduce deposit.</t>
  </si>
  <si>
    <t>Only benefits higher-income earners</t>
  </si>
  <si>
    <t>The tax advantage of FHSS is larger for higher-income earners (higher MTR). Low-income first home buyers get minimal tax benefit (MTR ≤ 19%).</t>
  </si>
  <si>
    <t>At $45k income: tax saving = (21% − 15%) × $50k = $3,000 total. At $135k income: tax saving = (34% − 15%) × $50k = $9,500 total.</t>
  </si>
  <si>
    <t>Tax on withdrawal (MTR − 30% offset) ($)</t>
  </si>
  <si>
    <t>FHSS USAGE DATA (ATO Statistics)</t>
  </si>
  <si>
    <t>NET deposit contribution (after withdrawal tax) ($)</t>
  </si>
  <si>
    <t>Best suited for</t>
  </si>
  <si>
    <t>✅ Disciplined savers with stable income who are sure they want to buy. Higher income earners benefit most from the tax savings.</t>
  </si>
  <si>
    <t>Good for: low-income earners (MTR ≤ 19%), unsure about timing, or needing emergency access to savings.</t>
  </si>
  <si>
    <t>Can complement FHSS for savings ABOVE the $50k cap. Accept market risk for potentially higher returns.</t>
  </si>
  <si>
    <t>Number of FHSS requests (ATO FY2022-23)</t>
  </si>
  <si>
    <t>~25,600 release requests lodged — utilisation far below eligible population.</t>
  </si>
  <si>
    <t>Low uptake may reflect: complexity, awareness gaps, or constraint of low annual cap. Source: ATO Annual Report 2023-24.</t>
  </si>
  <si>
    <t>Extra deposit vs $30k old cap ($)</t>
  </si>
  <si>
    <t>Recommendation</t>
  </si>
  <si>
    <t>✅ Use FHSS to the maximum ($50k / $15k per year) for eligible first home buyers.</t>
  </si>
  <si>
    <t>⚠ Use as overflow savings above the $50k FHSS cap or for emergency buffer.</t>
  </si>
  <si>
    <t>⚠ Consider for amounts exceeding FHSS cap if comfortable with risk.</t>
  </si>
  <si>
    <t>Average release amount per person</t>
  </si>
  <si>
    <t>~$22,000 average release (well below the $50k cap)</t>
  </si>
  <si>
    <t>Most users are not reaching the cap — suggesting annual $15k limit is the binding constraint rather than the lifetime cap.</t>
  </si>
  <si>
    <t>% more deposit vs $30k old cap (%)</t>
  </si>
  <si>
    <t>Primary reason for low utilisation (ATO survey)</t>
  </si>
  <si>
    <t>Complexity of process and lack of awareness cited most frequently.</t>
  </si>
  <si>
    <t>Simplification of the scheme (reduce ATO steps, clearer guidance) may improve uptake more than a cap increase alone.</t>
  </si>
  <si>
    <t xml:space="preserve">  CHART: FHSS TAX SAVING BY INCOME BRACKET (on $50,000 lifetime contributions)</t>
  </si>
  <si>
    <t>Income Bracket</t>
  </si>
  <si>
    <t>Tax Saving ($)</t>
  </si>
  <si>
    <t>Net Deposit ($)</t>
  </si>
  <si>
    <t>≤$18,200</t>
  </si>
  <si>
    <t>$18k-$45k</t>
  </si>
  <si>
    <t>$45k-$135k</t>
  </si>
  <si>
    <t>$135k-$190k</t>
  </si>
  <si>
    <t>&gt;$190k</t>
  </si>
  <si>
    <t>DISCLAIMER &amp; SOURCES: FHSS rules current as at 1 July 2025 (FY2025-26). Annual cap: $15,000; Lifetime releasable cap: $50,000 per person (s.316-25 ITAA97). Deemed earnings rate: ATO short-term bond rate + 3% (varies annually — check ato.gov.au). Proposed $60k cap increase: mozo.com.au (2025) and parliamentary debate reports. ATO FHSS usage statistics: ATO Annual Report 2023-24. Tax saving calculations are illustrative — actual outcomes depend on fund performance and individual circumstances. 20% tax applies if funds not used within 12 months of release. This sheet is for educational purposes only and does not constitute financial product advice (Corporations Act 2001 s.766B). Seek advice from a licensed AFS adviser before contributing.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</si>
</sst>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quot;($&quot;#,##0\);\-"/>
    <numFmt numFmtId="165" formatCode="0.0%;\-0.0%;\-"/>
    <numFmt numFmtId="166" formatCode="0&quot; yrs&quot;"/>
    <numFmt numFmtId="168" formatCode="0.00%;\-0.00%;\-"/>
    <numFmt numFmtId="169" formatCode="0&quot;  months&quot;"/>
    <numFmt numFmtId="170" formatCode="0&quot;  years&quot;"/>
    <numFmt numFmtId="171" formatCode="0.0&quot; years&quot;"/>
    <numFmt numFmtId="172" formatCode="0&quot; years&quot;"/>
    <numFmt numFmtId="173" formatCode="0.0000"/>
    <numFmt numFmtId="174" formatCode="\$0.00\T"/>
    <numFmt numFmtId="175" formatCode="0.0&quot; months&quot;"/>
    <numFmt numFmtId="176" formatCode="0&quot; weeks&quot;"/>
  </numFmts>
  <fonts count="67" x14ac:knownFonts="1">
    <font>
      <sz val="11"/>
      <color theme="1"/>
      <name val="Calibri"/>
      <family val="2"/>
      <charset val="1"/>
    </font>
    <font>
      <b/>
      <sz val="16"/>
      <color rgb="FFF5EEDC"/>
      <name val="Arial"/>
      <charset val="1"/>
    </font>
    <font>
      <i/>
      <sz val="9"/>
      <color rgb="FFFFFFFF"/>
      <name val="Arial"/>
      <charset val="1"/>
    </font>
    <font>
      <b/>
      <sz val="10"/>
      <color rgb="FFF5EEDC"/>
      <name val="Arial"/>
      <charset val="1"/>
    </font>
    <font>
      <b/>
      <sz val="9"/>
      <color rgb="FFFFFFFF"/>
      <name val="Arial"/>
      <charset val="1"/>
    </font>
    <font>
      <b/>
      <sz val="11"/>
      <color rgb="FF1F3864"/>
      <name val="Arial"/>
      <charset val="1"/>
    </font>
    <font>
      <i/>
      <sz val="8"/>
      <color rgb="FF595959"/>
      <name val="Arial"/>
      <charset val="1"/>
    </font>
    <font>
      <b/>
      <sz val="13"/>
      <color rgb="FFF5EEDC"/>
      <name val="Arial"/>
      <charset val="1"/>
    </font>
    <font>
      <b/>
      <sz val="10"/>
      <color rgb="FFFFFFFF"/>
      <name val="Arial"/>
      <charset val="1"/>
    </font>
    <font>
      <b/>
      <sz val="9"/>
      <color rgb="FFF5EEDC"/>
      <name val="Arial"/>
      <charset val="1"/>
    </font>
    <font>
      <b/>
      <sz val="9"/>
      <color rgb="FF1F3864"/>
      <name val="Arial"/>
      <charset val="1"/>
    </font>
    <font>
      <b/>
      <sz val="9"/>
      <color rgb="FF000000"/>
      <name val="Arial"/>
      <charset val="1"/>
    </font>
    <font>
      <sz val="9"/>
      <color rgb="FF000000"/>
      <name val="Arial"/>
      <charset val="1"/>
    </font>
    <font>
      <sz val="10"/>
      <color rgb="FF0000FF"/>
      <name val="Arial"/>
      <charset val="1"/>
    </font>
    <font>
      <b/>
      <sz val="9"/>
      <color rgb="FFC00000"/>
      <name val="Arial"/>
      <charset val="1"/>
    </font>
    <font>
      <sz val="9"/>
      <color rgb="FFC00000"/>
      <name val="Arial"/>
      <charset val="1"/>
    </font>
    <font>
      <sz val="7"/>
      <color rgb="FF000000"/>
      <name val="Arial"/>
      <charset val="1"/>
    </font>
    <font>
      <b/>
      <sz val="9"/>
      <color rgb="FF375623"/>
      <name val="Arial"/>
      <charset val="1"/>
    </font>
    <font>
      <sz val="8"/>
      <color rgb="FF000000"/>
      <name val="Arial"/>
      <charset val="1"/>
    </font>
    <font>
      <sz val="10"/>
      <color rgb="FF000000"/>
      <name val="Arial"/>
      <charset val="1"/>
    </font>
    <font>
      <i/>
      <sz val="9"/>
      <color rgb="FF595959"/>
      <name val="Arial"/>
      <charset val="1"/>
    </font>
    <font>
      <b/>
      <sz val="10"/>
      <color rgb="FF1F3864"/>
      <name val="Arial"/>
      <charset val="1"/>
    </font>
    <font>
      <b/>
      <sz val="9"/>
      <color rgb="FF595959"/>
      <name val="Arial"/>
      <charset val="1"/>
    </font>
    <font>
      <b/>
      <sz val="10"/>
      <color rgb="FF000000"/>
      <name val="Arial"/>
      <charset val="1"/>
    </font>
    <font>
      <i/>
      <sz val="9"/>
      <color rgb="FF1F3864"/>
      <name val="Arial"/>
      <charset val="1"/>
    </font>
    <font>
      <sz val="11"/>
      <color rgb="FFF5EEDC"/>
      <name val="Calibri"/>
      <charset val="1"/>
    </font>
    <font>
      <b/>
      <sz val="14"/>
      <color rgb="FFF5EEDC"/>
      <name val="Arial"/>
      <charset val="1"/>
    </font>
    <font>
      <i/>
      <sz val="10"/>
      <color rgb="FFFFFFFF"/>
      <name val="Arial"/>
      <charset val="1"/>
    </font>
    <font>
      <sz val="10"/>
      <color rgb="FFF5EEDC"/>
      <name val="Arial"/>
      <charset val="1"/>
    </font>
    <font>
      <sz val="10"/>
      <color rgb="FF006100"/>
      <name val="Arial"/>
      <charset val="1"/>
    </font>
    <font>
      <b/>
      <sz val="8"/>
      <color rgb="FF1F3864"/>
      <name val="Arial"/>
      <charset val="1"/>
    </font>
    <font>
      <b/>
      <sz val="8"/>
      <color rgb="FFFFFFFF"/>
      <name val="Arial"/>
      <charset val="1"/>
    </font>
    <font>
      <b/>
      <sz val="8"/>
      <color rgb="FFF5EEDC"/>
      <name val="Arial"/>
      <charset val="1"/>
    </font>
    <font>
      <b/>
      <sz val="8"/>
      <color rgb="FF595959"/>
      <name val="Arial"/>
      <charset val="1"/>
    </font>
    <font>
      <b/>
      <sz val="9"/>
      <color rgb="FF7030A0"/>
      <name val="Arial"/>
      <charset val="1"/>
    </font>
    <font>
      <b/>
      <sz val="9"/>
      <color rgb="FF1F6B6B"/>
      <name val="Arial"/>
      <charset val="1"/>
    </font>
    <font>
      <sz val="8"/>
      <color rgb="FF595959"/>
      <name val="Arial"/>
      <charset val="1"/>
    </font>
    <font>
      <sz val="9"/>
      <color rgb="FF0000FF"/>
      <name val="Arial"/>
      <charset val="1"/>
    </font>
    <font>
      <b/>
      <sz val="8"/>
      <color rgb="FF000000"/>
      <name val="Arial"/>
      <charset val="1"/>
    </font>
    <font>
      <sz val="8"/>
      <color rgb="FF0000FF"/>
      <name val="Arial"/>
      <charset val="1"/>
    </font>
    <font>
      <sz val="8"/>
      <color rgb="FFC00000"/>
      <name val="Arial"/>
      <charset val="1"/>
    </font>
    <font>
      <sz val="8"/>
      <color rgb="FFFFFFFF"/>
      <name val="Arial"/>
      <charset val="1"/>
    </font>
    <font>
      <sz val="9"/>
      <color rgb="FF1F3864"/>
      <name val="Arial"/>
      <charset val="1"/>
    </font>
    <font>
      <sz val="8"/>
      <color rgb="FF1F3864"/>
      <name val="Arial"/>
      <charset val="1"/>
    </font>
    <font>
      <i/>
      <sz val="8"/>
      <color rgb="FFC00000"/>
      <name val="Arial"/>
      <charset val="1"/>
    </font>
    <font>
      <sz val="9"/>
      <color rgb="FFFFFFFF"/>
      <name val="Arial"/>
      <charset val="1"/>
    </font>
    <font>
      <sz val="9"/>
      <color rgb="FF1B5E20"/>
      <name val="Arial"/>
      <charset val="1"/>
    </font>
    <font>
      <sz val="8"/>
      <color rgb="FF375623"/>
      <name val="Arial"/>
      <charset val="1"/>
    </font>
    <font>
      <sz val="9"/>
      <color rgb="FF375623"/>
      <name val="Arial"/>
      <charset val="1"/>
    </font>
    <font>
      <b/>
      <sz val="9"/>
      <color rgb="FF8B0000"/>
      <name val="Arial"/>
      <charset val="1"/>
    </font>
    <font>
      <b/>
      <sz val="9"/>
      <color rgb="FF455A64"/>
      <name val="Arial"/>
      <charset val="1"/>
    </font>
    <font>
      <b/>
      <sz val="8"/>
      <color rgb="FF00695C"/>
      <name val="Arial"/>
      <charset val="1"/>
    </font>
    <font>
      <sz val="9"/>
      <color rgb="FF00695C"/>
      <name val="Arial"/>
      <charset val="1"/>
    </font>
    <font>
      <b/>
      <sz val="9"/>
      <color rgb="FF004D40"/>
      <name val="Arial"/>
      <charset val="1"/>
    </font>
    <font>
      <sz val="9"/>
      <color rgb="FFE65100"/>
      <name val="Arial"/>
      <charset val="1"/>
    </font>
    <font>
      <b/>
      <sz val="9"/>
      <color rgb="FFAD1457"/>
      <name val="Arial"/>
      <charset val="1"/>
    </font>
    <font>
      <sz val="9"/>
      <color rgb="FF2E75B6"/>
      <name val="Arial"/>
      <charset val="1"/>
    </font>
    <font>
      <sz val="9"/>
      <color rgb="FF4A148C"/>
      <name val="Arial"/>
      <charset val="1"/>
    </font>
    <font>
      <b/>
      <sz val="9"/>
      <color rgb="FF00695C"/>
      <name val="Arial"/>
      <charset val="1"/>
    </font>
    <font>
      <b/>
      <sz val="8"/>
      <color rgb="FFAD1457"/>
      <name val="Arial"/>
      <charset val="1"/>
    </font>
    <font>
      <sz val="9"/>
      <color rgb="FFAD1457"/>
      <name val="Arial"/>
      <charset val="1"/>
    </font>
    <font>
      <b/>
      <sz val="9"/>
      <color rgb="FFF57F17"/>
      <name val="Arial"/>
      <charset val="1"/>
    </font>
    <font>
      <b/>
      <sz val="9"/>
      <color rgb="FFBF360C"/>
      <name val="Arial"/>
      <charset val="1"/>
    </font>
    <font>
      <sz val="8"/>
      <color rgb="FF0277BD"/>
      <name val="Arial"/>
      <charset val="1"/>
    </font>
    <font>
      <sz val="8"/>
      <color rgb="FFE65100"/>
      <name val="Arial"/>
      <charset val="1"/>
    </font>
    <font>
      <b/>
      <sz val="8"/>
      <color rgb="FFBF360C"/>
      <name val="Arial"/>
      <charset val="1"/>
    </font>
    <font>
      <b/>
      <sz val="9"/>
      <color rgb="FFE65100"/>
      <name val="Arial"/>
      <charset val="1"/>
    </font>
  </fonts>
  <fills count="23">
    <fill>
      <patternFill patternType="none"/>
    </fill>
    <fill>
      <patternFill patternType="gray125"/>
    </fill>
    <fill>
      <patternFill patternType="solid">
        <fgColor rgb="FF7A8C6B"/>
        <bgColor rgb="FF70AD47"/>
      </patternFill>
    </fill>
    <fill>
      <patternFill patternType="solid">
        <fgColor rgb="FFF5EEDC"/>
        <bgColor rgb="FFFBE9E7"/>
      </patternFill>
    </fill>
    <fill>
      <patternFill patternType="solid">
        <fgColor rgb="FFEFF3F6"/>
        <bgColor rgb="FFF2F2F2"/>
      </patternFill>
    </fill>
    <fill>
      <patternFill patternType="solid">
        <fgColor rgb="FFFFFFFF"/>
        <bgColor rgb="FFF7F9F5"/>
      </patternFill>
    </fill>
    <fill>
      <patternFill patternType="solid">
        <fgColor rgb="FFC00000"/>
        <bgColor rgb="FF8B0000"/>
      </patternFill>
    </fill>
    <fill>
      <patternFill patternType="solid">
        <fgColor rgb="FFFFFACD"/>
        <bgColor rgb="FFFFF8E1"/>
      </patternFill>
    </fill>
    <fill>
      <patternFill patternType="solid">
        <fgColor rgb="FFF2F2F2"/>
        <bgColor rgb="FFEFF3F6"/>
      </patternFill>
    </fill>
    <fill>
      <patternFill patternType="solid">
        <fgColor rgb="FF595959"/>
        <bgColor rgb="FF455A64"/>
      </patternFill>
    </fill>
    <fill>
      <patternFill patternType="solid">
        <fgColor rgb="FF22814A"/>
        <bgColor rgb="FF1E7B52"/>
      </patternFill>
    </fill>
    <fill>
      <patternFill patternType="solid">
        <fgColor rgb="FF611F96"/>
        <bgColor rgb="FF502689"/>
      </patternFill>
    </fill>
    <fill>
      <patternFill patternType="solid">
        <fgColor rgb="FFF7F9F5"/>
        <bgColor rgb="FFF2F2F2"/>
      </patternFill>
    </fill>
    <fill>
      <patternFill patternType="solid">
        <fgColor rgb="FF1E7B52"/>
        <bgColor rgb="FF22814A"/>
      </patternFill>
    </fill>
    <fill>
      <patternFill patternType="solid">
        <fgColor rgb="FFFFF8E1"/>
        <bgColor rgb="FFFFFACD"/>
      </patternFill>
    </fill>
    <fill>
      <patternFill patternType="solid">
        <fgColor rgb="FFF3E5F5"/>
        <bgColor rgb="FFFBE9E7"/>
      </patternFill>
    </fill>
    <fill>
      <patternFill patternType="solid">
        <fgColor rgb="FF870000"/>
        <bgColor rgb="FF8B0000"/>
      </patternFill>
    </fill>
    <fill>
      <patternFill patternType="solid">
        <fgColor rgb="FF455A64"/>
        <bgColor rgb="FF595959"/>
      </patternFill>
    </fill>
    <fill>
      <patternFill patternType="solid">
        <fgColor rgb="FFE35F03"/>
        <bgColor rgb="FFE65100"/>
      </patternFill>
    </fill>
    <fill>
      <patternFill patternType="solid">
        <fgColor rgb="FF502689"/>
        <bgColor rgb="FF611F96"/>
      </patternFill>
    </fill>
    <fill>
      <patternFill patternType="solid">
        <fgColor rgb="FFF37F03"/>
        <bgColor rgb="FFF57F17"/>
      </patternFill>
    </fill>
    <fill>
      <patternFill patternType="solid">
        <fgColor rgb="FFE65100"/>
        <bgColor rgb="FFE35F03"/>
      </patternFill>
    </fill>
    <fill>
      <patternFill patternType="solid">
        <fgColor rgb="FFFBE9E7"/>
        <bgColor rgb="FFF5EEDC"/>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cellStyleXfs>
  <cellXfs count="339">
    <xf numFmtId="0" fontId="0" fillId="0" borderId="0" xfId="0"/>
    <xf numFmtId="0" fontId="20" fillId="5"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2" fillId="8" borderId="1" xfId="0" applyFont="1" applyFill="1" applyBorder="1" applyAlignment="1">
      <alignment horizontal="left" vertical="center" wrapText="1"/>
    </xf>
    <xf numFmtId="0" fontId="16" fillId="9" borderId="1" xfId="0" applyFont="1" applyFill="1" applyBorder="1" applyAlignment="1">
      <alignment horizontal="left" vertical="center"/>
    </xf>
    <xf numFmtId="0" fontId="10" fillId="7" borderId="1" xfId="0" applyFont="1" applyFill="1" applyBorder="1" applyAlignment="1">
      <alignment horizontal="left" vertical="center"/>
    </xf>
    <xf numFmtId="0" fontId="8" fillId="6" borderId="1" xfId="0" applyFont="1" applyFill="1" applyBorder="1" applyAlignment="1">
      <alignment horizontal="left" vertical="center"/>
    </xf>
    <xf numFmtId="0" fontId="8" fillId="2" borderId="1" xfId="0" applyFont="1" applyFill="1" applyBorder="1" applyAlignment="1">
      <alignment horizontal="left"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6" fillId="4" borderId="0" xfId="0" applyFont="1" applyFill="1" applyAlignment="1">
      <alignment horizontal="left" vertical="center" wrapText="1"/>
    </xf>
    <xf numFmtId="0" fontId="4" fillId="2" borderId="0" xfId="0" applyFont="1" applyFill="1" applyAlignment="1">
      <alignment horizontal="left" vertical="center"/>
    </xf>
    <xf numFmtId="0" fontId="3" fillId="2" borderId="1" xfId="0" applyFont="1" applyFill="1" applyBorder="1" applyAlignment="1">
      <alignment horizontal="left" vertical="center"/>
    </xf>
    <xf numFmtId="0" fontId="2" fillId="2" borderId="0" xfId="0" applyFont="1" applyFill="1" applyAlignment="1">
      <alignment horizontal="center" vertical="center"/>
    </xf>
    <xf numFmtId="0" fontId="1" fillId="2" borderId="0" xfId="0" applyFont="1" applyFill="1" applyAlignment="1">
      <alignment horizontal="center" vertical="center"/>
    </xf>
    <xf numFmtId="0" fontId="4" fillId="2" borderId="1" xfId="0" applyFont="1" applyFill="1" applyBorder="1" applyAlignment="1">
      <alignment horizontal="center" vertical="center" wrapText="1"/>
    </xf>
    <xf numFmtId="164" fontId="5" fillId="3" borderId="1" xfId="0" applyNumberFormat="1" applyFont="1" applyFill="1" applyBorder="1" applyAlignment="1">
      <alignment horizontal="center" vertical="center"/>
    </xf>
    <xf numFmtId="165" fontId="5" fillId="3" borderId="1" xfId="0" applyNumberFormat="1" applyFont="1" applyFill="1" applyBorder="1" applyAlignment="1">
      <alignment horizontal="center" vertical="center"/>
    </xf>
    <xf numFmtId="166" fontId="5" fillId="3" borderId="1" xfId="0" applyNumberFormat="1" applyFont="1" applyFill="1" applyBorder="1" applyAlignment="1">
      <alignment horizontal="center" vertical="center"/>
    </xf>
    <xf numFmtId="0" fontId="0" fillId="5" borderId="0" xfId="0" applyFill="1"/>
    <xf numFmtId="0" fontId="9" fillId="2"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0" fillId="7" borderId="1"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12" fillId="8" borderId="1" xfId="0" applyFont="1" applyFill="1" applyBorder="1" applyAlignment="1">
      <alignment horizontal="left" vertical="center"/>
    </xf>
    <xf numFmtId="164" fontId="13" fillId="7" borderId="1" xfId="0" applyNumberFormat="1" applyFont="1" applyFill="1" applyBorder="1" applyAlignment="1">
      <alignment horizontal="right" vertical="center"/>
    </xf>
    <xf numFmtId="0" fontId="10" fillId="7" borderId="1" xfId="0" applyFont="1" applyFill="1" applyBorder="1" applyAlignment="1">
      <alignment horizontal="left" vertical="center"/>
    </xf>
    <xf numFmtId="0" fontId="0" fillId="8" borderId="1" xfId="0" applyFill="1" applyBorder="1"/>
    <xf numFmtId="0" fontId="12" fillId="8"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168" fontId="13" fillId="7" borderId="1" xfId="0" applyNumberFormat="1" applyFont="1" applyFill="1" applyBorder="1" applyAlignment="1">
      <alignment horizontal="right" vertical="center"/>
    </xf>
    <xf numFmtId="165" fontId="13" fillId="7" borderId="1" xfId="0" applyNumberFormat="1" applyFont="1" applyFill="1" applyBorder="1" applyAlignment="1">
      <alignment horizontal="right" vertical="center"/>
    </xf>
    <xf numFmtId="169" fontId="13" fillId="7" borderId="1" xfId="0" applyNumberFormat="1" applyFont="1" applyFill="1" applyBorder="1" applyAlignment="1">
      <alignment horizontal="right" vertical="center"/>
    </xf>
    <xf numFmtId="170" fontId="13" fillId="7" borderId="1" xfId="0" applyNumberFormat="1" applyFont="1" applyFill="1" applyBorder="1" applyAlignment="1">
      <alignment horizontal="right" vertical="center"/>
    </xf>
    <xf numFmtId="0" fontId="10"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5" borderId="1" xfId="0" applyFont="1" applyFill="1" applyBorder="1" applyAlignment="1">
      <alignment horizontal="left" vertical="center"/>
    </xf>
    <xf numFmtId="1" fontId="13" fillId="5" borderId="1" xfId="0" applyNumberFormat="1" applyFont="1" applyFill="1" applyBorder="1" applyAlignment="1">
      <alignment horizontal="right" vertical="center"/>
    </xf>
    <xf numFmtId="0" fontId="12" fillId="5" borderId="1" xfId="0" applyFont="1" applyFill="1" applyBorder="1" applyAlignment="1">
      <alignment horizontal="center" vertical="center" wrapText="1"/>
    </xf>
    <xf numFmtId="165" fontId="13" fillId="5" borderId="1" xfId="0" applyNumberFormat="1" applyFont="1" applyFill="1" applyBorder="1" applyAlignment="1">
      <alignment horizontal="right" vertical="center"/>
    </xf>
    <xf numFmtId="0" fontId="0" fillId="5" borderId="1" xfId="0" applyFill="1" applyBorder="1"/>
    <xf numFmtId="0" fontId="12" fillId="5" borderId="1" xfId="0" applyFont="1" applyFill="1" applyBorder="1" applyAlignment="1">
      <alignment horizontal="left" vertical="center" wrapText="1"/>
    </xf>
    <xf numFmtId="164" fontId="14" fillId="3" borderId="1" xfId="0" applyNumberFormat="1" applyFont="1" applyFill="1" applyBorder="1" applyAlignment="1">
      <alignment horizontal="right" vertical="center"/>
    </xf>
    <xf numFmtId="0" fontId="14" fillId="8" borderId="1" xfId="0" applyFont="1" applyFill="1" applyBorder="1" applyAlignment="1">
      <alignment horizontal="right" vertical="center"/>
    </xf>
    <xf numFmtId="168" fontId="12" fillId="5" borderId="1" xfId="0" applyNumberFormat="1" applyFont="1" applyFill="1" applyBorder="1" applyAlignment="1">
      <alignment horizontal="right" vertical="center"/>
    </xf>
    <xf numFmtId="165" fontId="12" fillId="8" borderId="1" xfId="0" applyNumberFormat="1" applyFont="1" applyFill="1" applyBorder="1" applyAlignment="1">
      <alignment horizontal="right" vertical="center"/>
    </xf>
    <xf numFmtId="164" fontId="11" fillId="3" borderId="1" xfId="0" applyNumberFormat="1" applyFont="1" applyFill="1" applyBorder="1" applyAlignment="1">
      <alignment horizontal="right" vertical="center"/>
    </xf>
    <xf numFmtId="0" fontId="12" fillId="4" borderId="1" xfId="0" applyFont="1" applyFill="1" applyBorder="1" applyAlignment="1">
      <alignment horizontal="left" vertical="center"/>
    </xf>
    <xf numFmtId="164" fontId="12" fillId="8" borderId="1" xfId="0" applyNumberFormat="1" applyFont="1" applyFill="1" applyBorder="1" applyAlignment="1">
      <alignment horizontal="right" vertical="center"/>
    </xf>
    <xf numFmtId="164" fontId="12" fillId="3" borderId="1" xfId="0" applyNumberFormat="1" applyFont="1" applyFill="1" applyBorder="1" applyAlignment="1">
      <alignment horizontal="right" vertical="center"/>
    </xf>
    <xf numFmtId="0" fontId="0" fillId="0" borderId="1" xfId="0" applyBorder="1" applyAlignment="1">
      <alignment horizontal="right" vertical="center"/>
    </xf>
    <xf numFmtId="0" fontId="11" fillId="8" borderId="1" xfId="0" applyFont="1" applyFill="1" applyBorder="1" applyAlignment="1">
      <alignment horizontal="right" vertical="center"/>
    </xf>
    <xf numFmtId="171" fontId="11" fillId="7" borderId="1" xfId="0" applyNumberFormat="1" applyFont="1" applyFill="1" applyBorder="1" applyAlignment="1">
      <alignment horizontal="right" vertical="center"/>
    </xf>
    <xf numFmtId="0" fontId="9" fillId="2" borderId="1" xfId="0" applyFont="1" applyFill="1" applyBorder="1" applyAlignment="1">
      <alignment horizontal="left" vertical="center" wrapText="1"/>
    </xf>
    <xf numFmtId="164" fontId="9" fillId="2" borderId="1" xfId="0" applyNumberFormat="1" applyFont="1" applyFill="1" applyBorder="1" applyAlignment="1">
      <alignment horizontal="right" vertical="center"/>
    </xf>
    <xf numFmtId="0" fontId="12" fillId="3" borderId="1" xfId="0" applyFont="1" applyFill="1" applyBorder="1" applyAlignment="1">
      <alignment horizontal="left" vertical="center"/>
    </xf>
    <xf numFmtId="0" fontId="15" fillId="3" borderId="1" xfId="0" applyFont="1" applyFill="1" applyBorder="1" applyAlignment="1">
      <alignment horizontal="left" vertical="center" wrapText="1"/>
    </xf>
    <xf numFmtId="0" fontId="12" fillId="3" borderId="1" xfId="0" applyFont="1" applyFill="1" applyBorder="1" applyAlignment="1">
      <alignment horizontal="right" vertical="center"/>
    </xf>
    <xf numFmtId="165" fontId="14" fillId="3" borderId="1" xfId="0" applyNumberFormat="1" applyFont="1" applyFill="1" applyBorder="1" applyAlignment="1">
      <alignment horizontal="right" vertical="center"/>
    </xf>
    <xf numFmtId="0" fontId="0" fillId="3" borderId="1" xfId="0" applyFill="1" applyBorder="1" applyAlignment="1">
      <alignment horizontal="right" vertical="center"/>
    </xf>
    <xf numFmtId="171" fontId="14" fillId="3" borderId="1" xfId="0" applyNumberFormat="1" applyFont="1" applyFill="1" applyBorder="1" applyAlignment="1">
      <alignment horizontal="right" vertical="center"/>
    </xf>
    <xf numFmtId="164" fontId="0" fillId="5" borderId="1" xfId="0" applyNumberFormat="1" applyFill="1" applyBorder="1"/>
    <xf numFmtId="0" fontId="10" fillId="5" borderId="1" xfId="0" applyFont="1" applyFill="1" applyBorder="1" applyAlignment="1">
      <alignment horizontal="left" vertical="center"/>
    </xf>
    <xf numFmtId="0" fontId="0" fillId="0" borderId="1" xfId="0" applyBorder="1"/>
    <xf numFmtId="0" fontId="10" fillId="8" borderId="1" xfId="0" applyFont="1" applyFill="1" applyBorder="1" applyAlignment="1">
      <alignment horizontal="left" vertical="center"/>
    </xf>
    <xf numFmtId="0" fontId="12" fillId="3" borderId="1" xfId="0" applyFont="1" applyFill="1" applyBorder="1" applyAlignment="1">
      <alignment horizontal="left" vertical="center" wrapText="1"/>
    </xf>
    <xf numFmtId="0" fontId="17" fillId="7" borderId="1" xfId="0" applyFont="1" applyFill="1" applyBorder="1" applyAlignment="1">
      <alignment horizontal="left" vertical="center" wrapText="1"/>
    </xf>
    <xf numFmtId="0" fontId="18" fillId="7" borderId="1" xfId="0" applyFont="1" applyFill="1" applyBorder="1" applyAlignment="1">
      <alignment horizontal="left" vertical="center" wrapText="1"/>
    </xf>
    <xf numFmtId="0" fontId="18" fillId="8" borderId="1"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9" fillId="8" borderId="1" xfId="0" applyFont="1" applyFill="1" applyBorder="1" applyAlignment="1">
      <alignment horizontal="left" vertical="center"/>
    </xf>
    <xf numFmtId="0" fontId="20" fillId="5" borderId="1" xfId="0" applyFont="1" applyFill="1" applyBorder="1" applyAlignment="1">
      <alignment horizontal="left" vertical="center" wrapText="1"/>
    </xf>
    <xf numFmtId="172" fontId="13" fillId="7" borderId="1" xfId="0" applyNumberFormat="1" applyFont="1" applyFill="1" applyBorder="1" applyAlignment="1">
      <alignment horizontal="right" vertical="center"/>
    </xf>
    <xf numFmtId="0" fontId="9" fillId="2" borderId="1" xfId="0" applyFont="1" applyFill="1" applyBorder="1" applyAlignment="1">
      <alignment horizontal="center" vertical="center"/>
    </xf>
    <xf numFmtId="0" fontId="19" fillId="8" borderId="1" xfId="0" applyFont="1" applyFill="1" applyBorder="1" applyAlignment="1">
      <alignment horizontal="center" vertical="center" wrapText="1"/>
    </xf>
    <xf numFmtId="0" fontId="21" fillId="7" borderId="1" xfId="0" applyFont="1" applyFill="1" applyBorder="1" applyAlignment="1">
      <alignment horizontal="center" vertical="center"/>
    </xf>
    <xf numFmtId="0" fontId="19" fillId="5" borderId="1" xfId="0" applyFont="1" applyFill="1" applyBorder="1" applyAlignment="1">
      <alignment horizontal="center" vertical="center" wrapText="1"/>
    </xf>
    <xf numFmtId="0" fontId="22" fillId="4" borderId="1" xfId="0" applyFont="1" applyFill="1" applyBorder="1" applyAlignment="1">
      <alignment horizontal="center" vertical="center"/>
    </xf>
    <xf numFmtId="1" fontId="23" fillId="4" borderId="1" xfId="0" applyNumberFormat="1" applyFont="1" applyFill="1" applyBorder="1" applyAlignment="1">
      <alignment horizontal="right" vertical="center"/>
    </xf>
    <xf numFmtId="164" fontId="19" fillId="8" borderId="1" xfId="0" applyNumberFormat="1" applyFont="1" applyFill="1" applyBorder="1" applyAlignment="1">
      <alignment horizontal="right" vertical="center"/>
    </xf>
    <xf numFmtId="165" fontId="19" fillId="8" borderId="1" xfId="0" applyNumberFormat="1" applyFont="1" applyFill="1" applyBorder="1" applyAlignment="1">
      <alignment horizontal="right" vertical="center"/>
    </xf>
    <xf numFmtId="164" fontId="23" fillId="8" borderId="1" xfId="0" applyNumberFormat="1" applyFont="1" applyFill="1" applyBorder="1" applyAlignment="1">
      <alignment horizontal="right" vertical="center"/>
    </xf>
    <xf numFmtId="164" fontId="19" fillId="4" borderId="1" xfId="0" applyNumberFormat="1" applyFont="1" applyFill="1" applyBorder="1" applyAlignment="1">
      <alignment horizontal="right" vertical="center"/>
    </xf>
    <xf numFmtId="164" fontId="23" fillId="4" borderId="1" xfId="0" applyNumberFormat="1" applyFont="1" applyFill="1" applyBorder="1" applyAlignment="1">
      <alignment horizontal="right" vertical="center"/>
    </xf>
    <xf numFmtId="164" fontId="19" fillId="3" borderId="1" xfId="0" applyNumberFormat="1" applyFont="1" applyFill="1" applyBorder="1" applyAlignment="1">
      <alignment horizontal="right" vertical="center"/>
    </xf>
    <xf numFmtId="164" fontId="23" fillId="3" borderId="1" xfId="0" applyNumberFormat="1" applyFont="1" applyFill="1" applyBorder="1" applyAlignment="1">
      <alignment horizontal="right" vertical="center"/>
    </xf>
    <xf numFmtId="0" fontId="24" fillId="8" borderId="1" xfId="0" applyFont="1" applyFill="1" applyBorder="1" applyAlignment="1">
      <alignment horizontal="left" vertical="center"/>
    </xf>
    <xf numFmtId="164" fontId="19" fillId="5" borderId="1" xfId="0" applyNumberFormat="1" applyFont="1" applyFill="1" applyBorder="1" applyAlignment="1">
      <alignment horizontal="right" vertical="center"/>
    </xf>
    <xf numFmtId="165" fontId="19" fillId="5" borderId="1" xfId="0" applyNumberFormat="1" applyFont="1" applyFill="1" applyBorder="1" applyAlignment="1">
      <alignment horizontal="right" vertical="center"/>
    </xf>
    <xf numFmtId="164" fontId="23" fillId="5" borderId="1" xfId="0" applyNumberFormat="1" applyFont="1" applyFill="1" applyBorder="1" applyAlignment="1">
      <alignment horizontal="right" vertical="center"/>
    </xf>
    <xf numFmtId="0" fontId="24" fillId="5" borderId="1" xfId="0" applyFont="1" applyFill="1" applyBorder="1" applyAlignment="1">
      <alignment horizontal="left" vertical="center"/>
    </xf>
    <xf numFmtId="0" fontId="3" fillId="2" borderId="1" xfId="0" applyFont="1" applyFill="1" applyBorder="1" applyAlignment="1">
      <alignment horizontal="right" vertical="center"/>
    </xf>
    <xf numFmtId="0" fontId="25" fillId="2" borderId="1" xfId="0" applyFont="1" applyFill="1" applyBorder="1"/>
    <xf numFmtId="0" fontId="9" fillId="2" borderId="1" xfId="0" applyFont="1" applyFill="1" applyBorder="1" applyAlignment="1">
      <alignment horizontal="right" vertical="center"/>
    </xf>
    <xf numFmtId="164" fontId="4" fillId="2" borderId="1" xfId="0" applyNumberFormat="1" applyFont="1" applyFill="1" applyBorder="1" applyAlignment="1">
      <alignment horizontal="right" vertical="center"/>
    </xf>
    <xf numFmtId="0" fontId="4" fillId="2" borderId="1" xfId="0" applyFont="1" applyFill="1" applyBorder="1" applyAlignment="1">
      <alignment horizontal="right" vertical="center"/>
    </xf>
    <xf numFmtId="0" fontId="4" fillId="10" borderId="1" xfId="0" applyFont="1" applyFill="1" applyBorder="1" applyAlignment="1">
      <alignment horizontal="right" vertical="center"/>
    </xf>
    <xf numFmtId="1" fontId="13" fillId="7" borderId="1" xfId="0" applyNumberFormat="1" applyFont="1" applyFill="1" applyBorder="1" applyAlignment="1">
      <alignment horizontal="right" vertical="center"/>
    </xf>
    <xf numFmtId="49" fontId="13" fillId="7" borderId="1" xfId="0" applyNumberFormat="1" applyFont="1" applyFill="1" applyBorder="1" applyAlignment="1">
      <alignment horizontal="right" vertical="center"/>
    </xf>
    <xf numFmtId="49" fontId="19" fillId="4" borderId="1" xfId="0" applyNumberFormat="1" applyFont="1" applyFill="1" applyBorder="1" applyAlignment="1">
      <alignment horizontal="right" vertical="center"/>
    </xf>
    <xf numFmtId="1" fontId="19" fillId="8" borderId="1" xfId="0" applyNumberFormat="1" applyFont="1" applyFill="1" applyBorder="1" applyAlignment="1">
      <alignment horizontal="right" vertical="center"/>
    </xf>
    <xf numFmtId="1" fontId="19" fillId="5" borderId="1" xfId="0" applyNumberFormat="1" applyFont="1" applyFill="1" applyBorder="1" applyAlignment="1">
      <alignment horizontal="right" vertical="center"/>
    </xf>
    <xf numFmtId="0" fontId="3" fillId="2" borderId="1" xfId="0" applyFont="1" applyFill="1" applyBorder="1" applyAlignment="1">
      <alignment horizontal="center" vertical="center"/>
    </xf>
    <xf numFmtId="0" fontId="28" fillId="2" borderId="1" xfId="0" applyFont="1" applyFill="1" applyBorder="1" applyAlignment="1">
      <alignment horizontal="right" vertical="center"/>
    </xf>
    <xf numFmtId="164" fontId="3" fillId="2" borderId="1" xfId="0" applyNumberFormat="1" applyFont="1" applyFill="1" applyBorder="1" applyAlignment="1">
      <alignment horizontal="right" vertical="center"/>
    </xf>
    <xf numFmtId="49" fontId="29" fillId="8" borderId="1" xfId="0" applyNumberFormat="1" applyFont="1" applyFill="1" applyBorder="1" applyAlignment="1">
      <alignment horizontal="center" vertical="center"/>
    </xf>
    <xf numFmtId="1" fontId="29" fillId="8" borderId="1" xfId="0" applyNumberFormat="1" applyFont="1" applyFill="1" applyBorder="1" applyAlignment="1">
      <alignment horizontal="right" vertical="center"/>
    </xf>
    <xf numFmtId="164" fontId="29" fillId="8" borderId="1" xfId="0" applyNumberFormat="1" applyFont="1" applyFill="1" applyBorder="1" applyAlignment="1">
      <alignment horizontal="right" vertical="center"/>
    </xf>
    <xf numFmtId="173" fontId="19" fillId="8" borderId="1" xfId="0" applyNumberFormat="1" applyFont="1" applyFill="1" applyBorder="1" applyAlignment="1">
      <alignment horizontal="right" vertical="center"/>
    </xf>
    <xf numFmtId="49" fontId="29" fillId="5" borderId="1" xfId="0" applyNumberFormat="1" applyFont="1" applyFill="1" applyBorder="1" applyAlignment="1">
      <alignment horizontal="center" vertical="center"/>
    </xf>
    <xf numFmtId="1" fontId="29" fillId="5" borderId="1" xfId="0" applyNumberFormat="1" applyFont="1" applyFill="1" applyBorder="1" applyAlignment="1">
      <alignment horizontal="right" vertical="center"/>
    </xf>
    <xf numFmtId="164" fontId="29" fillId="5" borderId="1" xfId="0" applyNumberFormat="1" applyFont="1" applyFill="1" applyBorder="1" applyAlignment="1">
      <alignment horizontal="right" vertical="center"/>
    </xf>
    <xf numFmtId="173" fontId="19" fillId="5" borderId="1" xfId="0" applyNumberFormat="1" applyFont="1" applyFill="1" applyBorder="1" applyAlignment="1">
      <alignment horizontal="right" vertical="center"/>
    </xf>
    <xf numFmtId="0" fontId="23" fillId="8" borderId="1" xfId="0" applyFont="1" applyFill="1" applyBorder="1" applyAlignment="1">
      <alignment horizontal="left" vertical="center"/>
    </xf>
    <xf numFmtId="1" fontId="0" fillId="0" borderId="0" xfId="0" applyNumberFormat="1"/>
    <xf numFmtId="164" fontId="0" fillId="0" borderId="0" xfId="0" applyNumberFormat="1"/>
    <xf numFmtId="0" fontId="4" fillId="11" borderId="1" xfId="0" applyFont="1" applyFill="1" applyBorder="1" applyAlignment="1">
      <alignment horizontal="center" vertical="center" wrapText="1"/>
    </xf>
    <xf numFmtId="0" fontId="11" fillId="7" borderId="1" xfId="0" applyFont="1" applyFill="1" applyBorder="1" applyAlignment="1">
      <alignment horizontal="center" vertical="center"/>
    </xf>
    <xf numFmtId="0" fontId="30" fillId="7" borderId="1" xfId="0" applyFont="1" applyFill="1" applyBorder="1" applyAlignment="1">
      <alignment horizontal="left" vertical="center" wrapText="1"/>
    </xf>
    <xf numFmtId="0" fontId="12" fillId="5" borderId="1" xfId="0" applyFont="1" applyFill="1" applyBorder="1" applyAlignment="1">
      <alignment horizontal="center" vertical="center"/>
    </xf>
    <xf numFmtId="0" fontId="10" fillId="3" borderId="1" xfId="0" applyFont="1" applyFill="1" applyBorder="1" applyAlignment="1">
      <alignment horizontal="left" vertical="center" wrapText="1"/>
    </xf>
    <xf numFmtId="0" fontId="11"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18" fillId="5" borderId="1" xfId="0" applyFont="1" applyFill="1" applyBorder="1" applyAlignment="1">
      <alignment horizontal="left" vertical="center" wrapText="1"/>
    </xf>
    <xf numFmtId="0" fontId="23" fillId="7" borderId="1" xfId="0" applyFont="1" applyFill="1" applyBorder="1" applyAlignment="1">
      <alignment horizontal="right" vertical="center"/>
    </xf>
    <xf numFmtId="0" fontId="12" fillId="8" borderId="1" xfId="0" applyFont="1" applyFill="1" applyBorder="1" applyAlignment="1">
      <alignment horizontal="center" vertical="center"/>
    </xf>
    <xf numFmtId="0" fontId="31" fillId="3" borderId="1" xfId="0" applyFont="1" applyFill="1" applyBorder="1" applyAlignment="1">
      <alignment horizontal="left" vertical="center" wrapText="1"/>
    </xf>
    <xf numFmtId="0" fontId="32"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9" borderId="1" xfId="0" applyFont="1" applyFill="1" applyBorder="1" applyAlignment="1">
      <alignment horizontal="center" vertical="center" wrapText="1"/>
    </xf>
    <xf numFmtId="0" fontId="33" fillId="4" borderId="1" xfId="0" applyFont="1" applyFill="1" applyBorder="1" applyAlignment="1">
      <alignment horizontal="center" vertical="center"/>
    </xf>
    <xf numFmtId="164" fontId="11" fillId="4" borderId="1" xfId="0" applyNumberFormat="1" applyFont="1" applyFill="1" applyBorder="1" applyAlignment="1">
      <alignment horizontal="right" vertical="center"/>
    </xf>
    <xf numFmtId="0" fontId="6" fillId="8" borderId="1" xfId="0" applyFont="1" applyFill="1" applyBorder="1" applyAlignment="1">
      <alignment horizontal="left" vertical="center"/>
    </xf>
    <xf numFmtId="0" fontId="6" fillId="5" borderId="1" xfId="0" applyFont="1" applyFill="1" applyBorder="1" applyAlignment="1">
      <alignment horizontal="left" vertical="center"/>
    </xf>
    <xf numFmtId="0" fontId="4" fillId="5" borderId="1" xfId="0" applyFont="1" applyFill="1" applyBorder="1" applyAlignment="1">
      <alignment horizontal="center" vertical="center" wrapText="1"/>
    </xf>
    <xf numFmtId="0" fontId="0" fillId="7" borderId="1" xfId="0" applyFill="1" applyBorder="1"/>
    <xf numFmtId="0" fontId="6" fillId="7" borderId="1" xfId="0" applyFont="1" applyFill="1" applyBorder="1" applyAlignment="1">
      <alignment horizontal="left" vertical="center" wrapText="1"/>
    </xf>
    <xf numFmtId="0" fontId="34" fillId="7"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35" fillId="7" borderId="1" xfId="0" applyFont="1" applyFill="1" applyBorder="1" applyAlignment="1">
      <alignment horizontal="left" vertical="center" wrapText="1"/>
    </xf>
    <xf numFmtId="165" fontId="12" fillId="3" borderId="1" xfId="0" applyNumberFormat="1" applyFont="1" applyFill="1" applyBorder="1" applyAlignment="1">
      <alignment horizontal="right" vertical="center"/>
    </xf>
    <xf numFmtId="165" fontId="11" fillId="3" borderId="1" xfId="0" applyNumberFormat="1" applyFont="1" applyFill="1" applyBorder="1" applyAlignment="1">
      <alignment horizontal="right" vertical="center"/>
    </xf>
    <xf numFmtId="164" fontId="12" fillId="5" borderId="1" xfId="0" applyNumberFormat="1" applyFont="1" applyFill="1" applyBorder="1" applyAlignment="1">
      <alignment horizontal="right" vertical="center"/>
    </xf>
    <xf numFmtId="0" fontId="6" fillId="8" borderId="1" xfId="0" applyFont="1" applyFill="1" applyBorder="1" applyAlignment="1">
      <alignment horizontal="left" vertical="center" wrapText="1"/>
    </xf>
    <xf numFmtId="0" fontId="12" fillId="8" borderId="1" xfId="0" applyFont="1" applyFill="1" applyBorder="1" applyAlignment="1">
      <alignment horizontal="right" vertical="center"/>
    </xf>
    <xf numFmtId="165" fontId="12" fillId="8" borderId="1" xfId="0" applyNumberFormat="1" applyFont="1" applyFill="1" applyBorder="1" applyAlignment="1">
      <alignment horizontal="right" vertical="center" wrapText="1"/>
    </xf>
    <xf numFmtId="0" fontId="0" fillId="3" borderId="1" xfId="0" applyFill="1" applyBorder="1"/>
    <xf numFmtId="165" fontId="12" fillId="3" borderId="1" xfId="0" applyNumberFormat="1" applyFont="1" applyFill="1" applyBorder="1" applyAlignment="1">
      <alignment horizontal="right" vertical="center" wrapText="1"/>
    </xf>
    <xf numFmtId="0" fontId="6" fillId="12" borderId="1" xfId="0" applyFont="1" applyFill="1" applyBorder="1" applyAlignment="1">
      <alignment horizontal="left" vertical="center" wrapText="1"/>
    </xf>
    <xf numFmtId="164" fontId="11" fillId="5" borderId="1" xfId="0" applyNumberFormat="1" applyFont="1" applyFill="1" applyBorder="1" applyAlignment="1">
      <alignment horizontal="right" vertical="center"/>
    </xf>
    <xf numFmtId="164" fontId="11" fillId="8" borderId="1" xfId="0" applyNumberFormat="1" applyFont="1" applyFill="1" applyBorder="1" applyAlignment="1">
      <alignment horizontal="right" vertical="center"/>
    </xf>
    <xf numFmtId="168" fontId="37" fillId="7" borderId="1" xfId="0" applyNumberFormat="1" applyFont="1" applyFill="1" applyBorder="1" applyAlignment="1">
      <alignment horizontal="right" vertical="center"/>
    </xf>
    <xf numFmtId="171" fontId="11" fillId="3" borderId="1" xfId="0" applyNumberFormat="1" applyFont="1" applyFill="1" applyBorder="1" applyAlignment="1">
      <alignment horizontal="right" vertical="center"/>
    </xf>
    <xf numFmtId="0" fontId="14" fillId="5" borderId="1" xfId="0" applyFont="1" applyFill="1" applyBorder="1" applyAlignment="1">
      <alignment horizontal="left" vertical="center" wrapText="1"/>
    </xf>
    <xf numFmtId="165" fontId="11" fillId="5" borderId="1" xfId="0" applyNumberFormat="1" applyFont="1" applyFill="1" applyBorder="1" applyAlignment="1">
      <alignment horizontal="right" vertical="center"/>
    </xf>
    <xf numFmtId="0" fontId="4" fillId="3" borderId="1"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38" fillId="7" borderId="1"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39" fillId="7" borderId="1" xfId="0" applyFont="1" applyFill="1" applyBorder="1" applyAlignment="1">
      <alignment horizontal="left" vertical="center" wrapText="1"/>
    </xf>
    <xf numFmtId="0" fontId="40" fillId="4" borderId="1" xfId="0" applyFont="1" applyFill="1" applyBorder="1" applyAlignment="1">
      <alignment horizontal="left" vertical="center" wrapText="1"/>
    </xf>
    <xf numFmtId="0" fontId="40" fillId="8" borderId="1" xfId="0" applyFont="1" applyFill="1" applyBorder="1" applyAlignment="1">
      <alignment horizontal="left" vertical="center" wrapText="1"/>
    </xf>
    <xf numFmtId="0" fontId="40"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1" fillId="3"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38" fillId="3" borderId="1" xfId="0" applyFont="1" applyFill="1" applyBorder="1" applyAlignment="1">
      <alignment horizontal="left" vertical="center" wrapText="1"/>
    </xf>
    <xf numFmtId="164" fontId="12" fillId="4" borderId="1" xfId="0" applyNumberFormat="1" applyFont="1" applyFill="1" applyBorder="1" applyAlignment="1">
      <alignment horizontal="right" vertical="center"/>
    </xf>
    <xf numFmtId="164" fontId="4" fillId="3" borderId="1" xfId="0" applyNumberFormat="1" applyFont="1" applyFill="1" applyBorder="1" applyAlignment="1">
      <alignment horizontal="right" vertical="center"/>
    </xf>
    <xf numFmtId="0" fontId="18" fillId="7" borderId="1" xfId="0" applyFont="1" applyFill="1" applyBorder="1" applyAlignment="1">
      <alignment horizontal="center" vertical="center" wrapText="1"/>
    </xf>
    <xf numFmtId="0" fontId="43" fillId="7" borderId="1" xfId="0" applyFont="1" applyFill="1" applyBorder="1" applyAlignment="1">
      <alignment horizontal="left" vertical="center" wrapText="1"/>
    </xf>
    <xf numFmtId="0" fontId="36" fillId="7" borderId="1"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44" fillId="3" borderId="1"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36" fillId="8" borderId="1" xfId="0" applyFont="1" applyFill="1" applyBorder="1" applyAlignment="1">
      <alignment horizontal="left" vertical="center" wrapText="1"/>
    </xf>
    <xf numFmtId="0" fontId="18" fillId="5" borderId="1" xfId="0" applyFont="1" applyFill="1" applyBorder="1" applyAlignment="1">
      <alignment horizontal="center" vertical="center" wrapText="1"/>
    </xf>
    <xf numFmtId="164" fontId="17" fillId="3" borderId="1" xfId="0" applyNumberFormat="1" applyFont="1" applyFill="1" applyBorder="1" applyAlignment="1">
      <alignment horizontal="right" vertical="center"/>
    </xf>
    <xf numFmtId="0" fontId="17" fillId="3" borderId="1" xfId="0" applyFont="1" applyFill="1" applyBorder="1" applyAlignment="1">
      <alignment horizontal="left" vertical="center" wrapText="1"/>
    </xf>
    <xf numFmtId="164" fontId="10" fillId="7" borderId="1" xfId="0" applyNumberFormat="1" applyFont="1" applyFill="1" applyBorder="1" applyAlignment="1">
      <alignment horizontal="right" vertical="center"/>
    </xf>
    <xf numFmtId="0" fontId="10" fillId="7" borderId="1" xfId="0" applyFont="1" applyFill="1" applyBorder="1" applyAlignment="1">
      <alignment horizontal="right" vertical="center"/>
    </xf>
    <xf numFmtId="0" fontId="0" fillId="14" borderId="1" xfId="0" applyFill="1" applyBorder="1"/>
    <xf numFmtId="164" fontId="45" fillId="3" borderId="1" xfId="0" applyNumberFormat="1" applyFont="1" applyFill="1" applyBorder="1" applyAlignment="1">
      <alignment horizontal="right" vertical="center"/>
    </xf>
    <xf numFmtId="0" fontId="11" fillId="7" borderId="1" xfId="0" applyFont="1" applyFill="1" applyBorder="1" applyAlignment="1">
      <alignment horizontal="right" vertical="center"/>
    </xf>
    <xf numFmtId="0" fontId="14" fillId="3" borderId="1" xfId="0" applyFont="1" applyFill="1" applyBorder="1" applyAlignment="1">
      <alignment horizontal="left" vertical="center" wrapText="1"/>
    </xf>
    <xf numFmtId="0" fontId="38" fillId="3" borderId="1" xfId="0" applyFont="1" applyFill="1" applyBorder="1" applyAlignment="1">
      <alignment horizontal="center" vertical="center" wrapText="1"/>
    </xf>
    <xf numFmtId="0" fontId="12" fillId="7" borderId="1" xfId="0" applyFont="1" applyFill="1" applyBorder="1" applyAlignment="1">
      <alignment horizontal="right" vertical="center"/>
    </xf>
    <xf numFmtId="0" fontId="0" fillId="7" borderId="1" xfId="0" applyFill="1" applyBorder="1" applyAlignment="1">
      <alignment horizontal="center" vertical="center"/>
    </xf>
    <xf numFmtId="174" fontId="10" fillId="7" borderId="1" xfId="0" applyNumberFormat="1" applyFont="1" applyFill="1" applyBorder="1" applyAlignment="1">
      <alignment horizontal="center" vertical="center"/>
    </xf>
    <xf numFmtId="0" fontId="46" fillId="3" borderId="1" xfId="0" applyFont="1" applyFill="1" applyBorder="1" applyAlignment="1">
      <alignment horizontal="left" vertical="center" wrapText="1"/>
    </xf>
    <xf numFmtId="165" fontId="12" fillId="3" borderId="1" xfId="0" applyNumberFormat="1" applyFont="1" applyFill="1" applyBorder="1" applyAlignment="1">
      <alignment horizontal="center" vertical="center"/>
    </xf>
    <xf numFmtId="174" fontId="12" fillId="3" borderId="1" xfId="0" applyNumberFormat="1" applyFont="1" applyFill="1" applyBorder="1" applyAlignment="1">
      <alignment horizontal="center" vertical="center"/>
    </xf>
    <xf numFmtId="165" fontId="12" fillId="4" borderId="1" xfId="0" applyNumberFormat="1" applyFont="1" applyFill="1" applyBorder="1" applyAlignment="1">
      <alignment horizontal="center" vertical="center"/>
    </xf>
    <xf numFmtId="174" fontId="12" fillId="4" borderId="1" xfId="0" applyNumberFormat="1" applyFont="1" applyFill="1" applyBorder="1" applyAlignment="1">
      <alignment horizontal="center" vertical="center"/>
    </xf>
    <xf numFmtId="0" fontId="6" fillId="4" borderId="1" xfId="0" applyFont="1" applyFill="1" applyBorder="1" applyAlignment="1">
      <alignment horizontal="left" vertical="center" wrapText="1"/>
    </xf>
    <xf numFmtId="0" fontId="36" fillId="3" borderId="1" xfId="0" applyFont="1" applyFill="1" applyBorder="1" applyAlignment="1">
      <alignment horizontal="left" vertical="center" wrapText="1"/>
    </xf>
    <xf numFmtId="0" fontId="12" fillId="15" borderId="1" xfId="0" applyFont="1" applyFill="1" applyBorder="1" applyAlignment="1">
      <alignment horizontal="left" vertical="center" wrapText="1"/>
    </xf>
    <xf numFmtId="165" fontId="12" fillId="15" borderId="1" xfId="0" applyNumberFormat="1" applyFont="1" applyFill="1" applyBorder="1" applyAlignment="1">
      <alignment horizontal="center" vertical="center"/>
    </xf>
    <xf numFmtId="174" fontId="12" fillId="15" borderId="1" xfId="0" applyNumberFormat="1" applyFont="1" applyFill="1" applyBorder="1" applyAlignment="1">
      <alignment horizontal="center" vertical="center"/>
    </xf>
    <xf numFmtId="0" fontId="6" fillId="15" borderId="1" xfId="0" applyFont="1" applyFill="1" applyBorder="1" applyAlignment="1">
      <alignment horizontal="left" vertical="center" wrapText="1"/>
    </xf>
    <xf numFmtId="174" fontId="12" fillId="8" borderId="1" xfId="0" applyNumberFormat="1" applyFont="1" applyFill="1" applyBorder="1" applyAlignment="1">
      <alignment horizontal="center" vertical="center"/>
    </xf>
    <xf numFmtId="165" fontId="0" fillId="0" borderId="1" xfId="0" applyNumberFormat="1" applyBorder="1"/>
    <xf numFmtId="0" fontId="47" fillId="3" borderId="1" xfId="0" applyFont="1" applyFill="1" applyBorder="1" applyAlignment="1">
      <alignment horizontal="left" vertical="center" wrapText="1"/>
    </xf>
    <xf numFmtId="165" fontId="0" fillId="5" borderId="1" xfId="0" applyNumberFormat="1" applyFill="1" applyBorder="1"/>
    <xf numFmtId="0" fontId="47" fillId="5" borderId="1" xfId="0" applyFont="1" applyFill="1" applyBorder="1" applyAlignment="1">
      <alignment horizontal="left" vertical="center" wrapText="1"/>
    </xf>
    <xf numFmtId="0" fontId="0" fillId="7" borderId="1" xfId="0" applyFill="1" applyBorder="1" applyAlignment="1">
      <alignment horizontal="left" vertical="center" wrapText="1"/>
    </xf>
    <xf numFmtId="0" fontId="18" fillId="7" borderId="1" xfId="0" applyFont="1" applyFill="1" applyBorder="1" applyAlignment="1">
      <alignment horizontal="center" vertical="center"/>
    </xf>
    <xf numFmtId="0" fontId="13" fillId="7" borderId="1" xfId="0" applyFont="1" applyFill="1" applyBorder="1" applyAlignment="1">
      <alignment horizontal="right" vertical="center"/>
    </xf>
    <xf numFmtId="0" fontId="40" fillId="8" borderId="1" xfId="0" applyFont="1" applyFill="1" applyBorder="1" applyAlignment="1">
      <alignment horizontal="center" vertical="center"/>
    </xf>
    <xf numFmtId="164" fontId="13" fillId="5" borderId="1" xfId="0" applyNumberFormat="1" applyFont="1" applyFill="1" applyBorder="1" applyAlignment="1">
      <alignment horizontal="right" vertical="center"/>
    </xf>
    <xf numFmtId="0" fontId="18" fillId="8" borderId="1" xfId="0" applyFont="1" applyFill="1" applyBorder="1" applyAlignment="1">
      <alignment horizontal="center" vertical="center"/>
    </xf>
    <xf numFmtId="164" fontId="15" fillId="3" borderId="1" xfId="0" applyNumberFormat="1" applyFont="1" applyFill="1" applyBorder="1" applyAlignment="1">
      <alignment horizontal="right" vertical="center"/>
    </xf>
    <xf numFmtId="175" fontId="17" fillId="3" borderId="1" xfId="0" applyNumberFormat="1" applyFont="1" applyFill="1" applyBorder="1" applyAlignment="1">
      <alignment horizontal="right" vertical="center"/>
    </xf>
    <xf numFmtId="0" fontId="48" fillId="3" borderId="1" xfId="0" applyFont="1" applyFill="1" applyBorder="1" applyAlignment="1">
      <alignment horizontal="left" vertical="center" wrapText="1"/>
    </xf>
    <xf numFmtId="164" fontId="48" fillId="3" borderId="1" xfId="0" applyNumberFormat="1" applyFont="1" applyFill="1" applyBorder="1" applyAlignment="1">
      <alignment horizontal="right" vertical="center"/>
    </xf>
    <xf numFmtId="0" fontId="42" fillId="7" borderId="1" xfId="0" applyFont="1" applyFill="1" applyBorder="1" applyAlignment="1">
      <alignment horizontal="left" vertical="center" wrapText="1"/>
    </xf>
    <xf numFmtId="164" fontId="42" fillId="7" borderId="1" xfId="0" applyNumberFormat="1" applyFont="1" applyFill="1" applyBorder="1" applyAlignment="1">
      <alignment horizontal="right" vertical="center"/>
    </xf>
    <xf numFmtId="1" fontId="10" fillId="7" borderId="1" xfId="0" applyNumberFormat="1" applyFont="1" applyFill="1" applyBorder="1" applyAlignment="1">
      <alignment horizontal="right" vertical="center"/>
    </xf>
    <xf numFmtId="0" fontId="4" fillId="16" borderId="1"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9" fillId="7" borderId="1" xfId="0" applyFont="1" applyFill="1" applyBorder="1" applyAlignment="1">
      <alignment horizontal="left" vertical="center" wrapText="1"/>
    </xf>
    <xf numFmtId="0" fontId="12" fillId="7" borderId="1" xfId="0" applyFont="1" applyFill="1" applyBorder="1" applyAlignment="1">
      <alignment horizontal="center" vertical="center"/>
    </xf>
    <xf numFmtId="0" fontId="50" fillId="7" borderId="1" xfId="0" applyFont="1" applyFill="1" applyBorder="1" applyAlignment="1">
      <alignment horizontal="left" vertical="center" wrapText="1"/>
    </xf>
    <xf numFmtId="0" fontId="52" fillId="3" borderId="1" xfId="0" applyFont="1" applyFill="1" applyBorder="1" applyAlignment="1">
      <alignment horizontal="center" vertical="center"/>
    </xf>
    <xf numFmtId="0" fontId="52" fillId="3" borderId="1" xfId="0" applyFont="1" applyFill="1" applyBorder="1" applyAlignment="1">
      <alignment horizontal="left" vertical="center" wrapText="1"/>
    </xf>
    <xf numFmtId="164" fontId="52" fillId="3" borderId="1" xfId="0" applyNumberFormat="1" applyFont="1" applyFill="1" applyBorder="1" applyAlignment="1">
      <alignment horizontal="center" vertical="center"/>
    </xf>
    <xf numFmtId="164" fontId="12" fillId="8" borderId="1" xfId="0" applyNumberFormat="1" applyFont="1" applyFill="1" applyBorder="1" applyAlignment="1">
      <alignment horizontal="center" vertical="center"/>
    </xf>
    <xf numFmtId="164" fontId="12" fillId="3" borderId="1" xfId="0" applyNumberFormat="1" applyFont="1" applyFill="1" applyBorder="1" applyAlignment="1">
      <alignment horizontal="center" vertical="center"/>
    </xf>
    <xf numFmtId="164" fontId="14" fillId="3" borderId="1" xfId="0" applyNumberFormat="1" applyFont="1" applyFill="1" applyBorder="1" applyAlignment="1">
      <alignment horizontal="center" vertical="center"/>
    </xf>
    <xf numFmtId="0" fontId="49" fillId="3" borderId="1" xfId="0" applyFont="1" applyFill="1" applyBorder="1" applyAlignment="1">
      <alignment horizontal="left" vertical="center" wrapText="1"/>
    </xf>
    <xf numFmtId="0" fontId="15" fillId="3" borderId="1" xfId="0" applyFont="1" applyFill="1" applyBorder="1" applyAlignment="1">
      <alignment horizontal="center" vertical="center"/>
    </xf>
    <xf numFmtId="171" fontId="14" fillId="3" borderId="1" xfId="0" applyNumberFormat="1" applyFont="1" applyFill="1" applyBorder="1" applyAlignment="1">
      <alignment horizontal="center" vertical="center"/>
    </xf>
    <xf numFmtId="0" fontId="14" fillId="3" borderId="1" xfId="0" applyFont="1" applyFill="1" applyBorder="1" applyAlignment="1">
      <alignment horizontal="center" vertical="center"/>
    </xf>
    <xf numFmtId="0" fontId="4" fillId="18" borderId="1" xfId="0" applyFont="1" applyFill="1" applyBorder="1" applyAlignment="1">
      <alignment horizontal="center" vertical="center" wrapText="1"/>
    </xf>
    <xf numFmtId="164" fontId="0" fillId="8" borderId="1" xfId="0" applyNumberFormat="1" applyFill="1" applyBorder="1"/>
    <xf numFmtId="168" fontId="12" fillId="8" borderId="1" xfId="0" applyNumberFormat="1" applyFont="1" applyFill="1" applyBorder="1" applyAlignment="1">
      <alignment horizontal="right" vertical="center"/>
    </xf>
    <xf numFmtId="0" fontId="53" fillId="7" borderId="1" xfId="0" applyFont="1" applyFill="1" applyBorder="1" applyAlignment="1">
      <alignment horizontal="left" vertical="center" wrapText="1"/>
    </xf>
    <xf numFmtId="165" fontId="54" fillId="7" borderId="1" xfId="0" applyNumberFormat="1" applyFont="1" applyFill="1" applyBorder="1" applyAlignment="1">
      <alignment horizontal="center" vertical="center"/>
    </xf>
    <xf numFmtId="165" fontId="12" fillId="8" borderId="1" xfId="0" applyNumberFormat="1" applyFont="1" applyFill="1" applyBorder="1" applyAlignment="1">
      <alignment horizontal="center" vertical="center"/>
    </xf>
    <xf numFmtId="165" fontId="48" fillId="3" borderId="1" xfId="0" applyNumberFormat="1" applyFont="1" applyFill="1" applyBorder="1" applyAlignment="1">
      <alignment horizontal="center" vertical="center"/>
    </xf>
    <xf numFmtId="0" fontId="53" fillId="3" borderId="1" xfId="0" applyFont="1" applyFill="1" applyBorder="1" applyAlignment="1">
      <alignment horizontal="left" vertical="center" wrapText="1"/>
    </xf>
    <xf numFmtId="165" fontId="15" fillId="3" borderId="1" xfId="0" applyNumberFormat="1" applyFont="1" applyFill="1" applyBorder="1" applyAlignment="1">
      <alignment horizontal="center" vertical="center"/>
    </xf>
    <xf numFmtId="165" fontId="48" fillId="5" borderId="1" xfId="0" applyNumberFormat="1" applyFont="1" applyFill="1" applyBorder="1" applyAlignment="1">
      <alignment horizontal="center" vertical="center"/>
    </xf>
    <xf numFmtId="0" fontId="40" fillId="3" borderId="1" xfId="0" applyFont="1" applyFill="1" applyBorder="1" applyAlignment="1">
      <alignment horizontal="center" vertical="center" wrapText="1"/>
    </xf>
    <xf numFmtId="0" fontId="47" fillId="3" borderId="1" xfId="0" applyFont="1" applyFill="1" applyBorder="1" applyAlignment="1">
      <alignment horizontal="center" vertical="center" wrapText="1"/>
    </xf>
    <xf numFmtId="165" fontId="12" fillId="5" borderId="1" xfId="0" applyNumberFormat="1" applyFont="1" applyFill="1" applyBorder="1" applyAlignment="1">
      <alignment horizontal="right" vertical="center"/>
    </xf>
    <xf numFmtId="0" fontId="12" fillId="5" borderId="1" xfId="0" applyFont="1" applyFill="1" applyBorder="1" applyAlignment="1">
      <alignment horizontal="right" vertical="center"/>
    </xf>
    <xf numFmtId="0" fontId="53" fillId="5" borderId="1" xfId="0" applyFont="1" applyFill="1" applyBorder="1" applyAlignment="1">
      <alignment horizontal="left" vertical="center" wrapText="1"/>
    </xf>
    <xf numFmtId="171" fontId="12" fillId="7" borderId="1" xfId="0" applyNumberFormat="1" applyFont="1" applyFill="1" applyBorder="1" applyAlignment="1">
      <alignment horizontal="right" vertical="center"/>
    </xf>
    <xf numFmtId="0" fontId="48" fillId="3" borderId="1" xfId="0" applyFont="1" applyFill="1" applyBorder="1" applyAlignment="1">
      <alignment horizontal="right" vertical="center"/>
    </xf>
    <xf numFmtId="0" fontId="4" fillId="19" borderId="1" xfId="0" applyFont="1" applyFill="1" applyBorder="1" applyAlignment="1">
      <alignment horizontal="center" vertical="center" wrapText="1"/>
    </xf>
    <xf numFmtId="0" fontId="55" fillId="7" borderId="1" xfId="0" applyFont="1" applyFill="1" applyBorder="1" applyAlignment="1">
      <alignment horizontal="left" vertical="center" wrapText="1"/>
    </xf>
    <xf numFmtId="0" fontId="56" fillId="7" borderId="1" xfId="0" applyFont="1" applyFill="1" applyBorder="1" applyAlignment="1">
      <alignment horizontal="center" vertical="center" wrapText="1"/>
    </xf>
    <xf numFmtId="0" fontId="57" fillId="7" borderId="1" xfId="0" applyFont="1" applyFill="1" applyBorder="1" applyAlignment="1">
      <alignment horizontal="center" vertical="center" wrapText="1"/>
    </xf>
    <xf numFmtId="0" fontId="58" fillId="7" borderId="1" xfId="0" applyFont="1" applyFill="1" applyBorder="1" applyAlignment="1">
      <alignment horizontal="left" vertical="center" wrapText="1"/>
    </xf>
    <xf numFmtId="0" fontId="60" fillId="3" borderId="1" xfId="0" applyFont="1" applyFill="1" applyBorder="1" applyAlignment="1">
      <alignment horizontal="center" vertical="center" wrapText="1"/>
    </xf>
    <xf numFmtId="0" fontId="56" fillId="4" borderId="1" xfId="0" applyFont="1" applyFill="1" applyBorder="1" applyAlignment="1">
      <alignment horizontal="center" vertical="center" wrapText="1"/>
    </xf>
    <xf numFmtId="0" fontId="57" fillId="4" borderId="1" xfId="0" applyFont="1" applyFill="1" applyBorder="1" applyAlignment="1">
      <alignment horizontal="center" vertical="center" wrapText="1"/>
    </xf>
    <xf numFmtId="0" fontId="36" fillId="4" borderId="1" xfId="0" applyFont="1" applyFill="1" applyBorder="1" applyAlignment="1">
      <alignment horizontal="left" vertical="center" wrapText="1"/>
    </xf>
    <xf numFmtId="0" fontId="56" fillId="3" borderId="1" xfId="0" applyFont="1" applyFill="1" applyBorder="1" applyAlignment="1">
      <alignment horizontal="center" vertical="center" wrapText="1"/>
    </xf>
    <xf numFmtId="0" fontId="57" fillId="3" borderId="1" xfId="0" applyFont="1" applyFill="1" applyBorder="1" applyAlignment="1">
      <alignment horizontal="center" vertical="center" wrapText="1"/>
    </xf>
    <xf numFmtId="0" fontId="60" fillId="5" borderId="1" xfId="0" applyFont="1" applyFill="1" applyBorder="1" applyAlignment="1">
      <alignment horizontal="center" vertical="center" wrapText="1"/>
    </xf>
    <xf numFmtId="0" fontId="56" fillId="5" borderId="1" xfId="0" applyFont="1" applyFill="1" applyBorder="1" applyAlignment="1">
      <alignment horizontal="center" vertical="center" wrapText="1"/>
    </xf>
    <xf numFmtId="0" fontId="57" fillId="5" borderId="1" xfId="0" applyFont="1" applyFill="1" applyBorder="1" applyAlignment="1">
      <alignment horizontal="center" vertical="center" wrapText="1"/>
    </xf>
    <xf numFmtId="0" fontId="40" fillId="5" borderId="1" xfId="0" applyFont="1" applyFill="1" applyBorder="1" applyAlignment="1">
      <alignment horizontal="left" vertical="center" wrapText="1"/>
    </xf>
    <xf numFmtId="0" fontId="4" fillId="20" borderId="1" xfId="0" applyFont="1" applyFill="1" applyBorder="1" applyAlignment="1">
      <alignment horizontal="center" vertical="center" wrapText="1"/>
    </xf>
    <xf numFmtId="0" fontId="61" fillId="7" borderId="1" xfId="0" applyFont="1" applyFill="1" applyBorder="1" applyAlignment="1">
      <alignment horizontal="left" vertical="center" wrapText="1"/>
    </xf>
    <xf numFmtId="172" fontId="12" fillId="3" borderId="1" xfId="0" applyNumberFormat="1" applyFont="1" applyFill="1" applyBorder="1" applyAlignment="1">
      <alignment horizontal="right" vertical="center"/>
    </xf>
    <xf numFmtId="172" fontId="12" fillId="4" borderId="1" xfId="0" applyNumberFormat="1" applyFont="1" applyFill="1" applyBorder="1" applyAlignment="1">
      <alignment horizontal="right" vertical="center"/>
    </xf>
    <xf numFmtId="165" fontId="15" fillId="3" borderId="1" xfId="0" applyNumberFormat="1" applyFont="1" applyFill="1" applyBorder="1" applyAlignment="1">
      <alignment horizontal="right" vertical="center"/>
    </xf>
    <xf numFmtId="171" fontId="42" fillId="7" borderId="1" xfId="0" applyNumberFormat="1" applyFont="1" applyFill="1" applyBorder="1" applyAlignment="1">
      <alignment horizontal="right" vertical="center"/>
    </xf>
    <xf numFmtId="176" fontId="13" fillId="7" borderId="1" xfId="0" applyNumberFormat="1" applyFont="1" applyFill="1" applyBorder="1" applyAlignment="1">
      <alignment horizontal="right" vertical="center"/>
    </xf>
    <xf numFmtId="164" fontId="12" fillId="8" borderId="1" xfId="0" applyNumberFormat="1" applyFont="1" applyFill="1" applyBorder="1" applyAlignment="1">
      <alignment horizontal="right" vertical="center" wrapText="1"/>
    </xf>
    <xf numFmtId="164" fontId="17" fillId="3" borderId="1" xfId="0" applyNumberFormat="1" applyFont="1" applyFill="1" applyBorder="1" applyAlignment="1">
      <alignment horizontal="right" vertical="center" wrapText="1"/>
    </xf>
    <xf numFmtId="0" fontId="48" fillId="5" borderId="1" xfId="0" applyFont="1" applyFill="1" applyBorder="1" applyAlignment="1">
      <alignment horizontal="left" vertical="center" wrapText="1"/>
    </xf>
    <xf numFmtId="164" fontId="48" fillId="5" borderId="1" xfId="0" applyNumberFormat="1" applyFont="1" applyFill="1" applyBorder="1" applyAlignment="1">
      <alignment horizontal="right" vertical="center" wrapText="1"/>
    </xf>
    <xf numFmtId="164" fontId="42" fillId="7" borderId="1" xfId="0" applyNumberFormat="1" applyFont="1" applyFill="1" applyBorder="1" applyAlignment="1">
      <alignment horizontal="right" vertical="center" wrapText="1"/>
    </xf>
    <xf numFmtId="172" fontId="12" fillId="8" borderId="1" xfId="0" applyNumberFormat="1" applyFont="1" applyFill="1" applyBorder="1" applyAlignment="1">
      <alignment horizontal="right" vertical="center"/>
    </xf>
    <xf numFmtId="0" fontId="0" fillId="0" borderId="1" xfId="0" applyBorder="1" applyAlignment="1">
      <alignment horizontal="left" vertical="center" wrapText="1"/>
    </xf>
    <xf numFmtId="0" fontId="4" fillId="21" borderId="1" xfId="0" applyFont="1" applyFill="1" applyBorder="1" applyAlignment="1">
      <alignment horizontal="center" vertical="center" wrapText="1"/>
    </xf>
    <xf numFmtId="0" fontId="62" fillId="7" borderId="1" xfId="0" applyFont="1" applyFill="1" applyBorder="1" applyAlignment="1">
      <alignment horizontal="left" vertical="center" wrapText="1"/>
    </xf>
    <xf numFmtId="0" fontId="63" fillId="7" borderId="1" xfId="0" applyFont="1" applyFill="1" applyBorder="1" applyAlignment="1">
      <alignment horizontal="left" vertical="center" wrapText="1"/>
    </xf>
    <xf numFmtId="0" fontId="64" fillId="7" borderId="1" xfId="0" applyFont="1" applyFill="1" applyBorder="1" applyAlignment="1">
      <alignment horizontal="left" vertical="center" wrapText="1"/>
    </xf>
    <xf numFmtId="0" fontId="63" fillId="4" borderId="1" xfId="0" applyFont="1" applyFill="1" applyBorder="1" applyAlignment="1">
      <alignment horizontal="left" vertical="center" wrapText="1"/>
    </xf>
    <xf numFmtId="0" fontId="64" fillId="3" borderId="1" xfId="0" applyFont="1" applyFill="1" applyBorder="1" applyAlignment="1">
      <alignment horizontal="left" vertical="center" wrapText="1"/>
    </xf>
    <xf numFmtId="0" fontId="63" fillId="5" borderId="1" xfId="0" applyFont="1" applyFill="1" applyBorder="1" applyAlignment="1">
      <alignment horizontal="left" vertical="center" wrapText="1"/>
    </xf>
    <xf numFmtId="0" fontId="64" fillId="5" borderId="1" xfId="0" applyFont="1" applyFill="1" applyBorder="1" applyAlignment="1">
      <alignment horizontal="left" vertical="center" wrapText="1"/>
    </xf>
    <xf numFmtId="0" fontId="36" fillId="5" borderId="1" xfId="0" applyFont="1" applyFill="1" applyBorder="1" applyAlignment="1">
      <alignment horizontal="left" vertical="center" wrapText="1"/>
    </xf>
    <xf numFmtId="0" fontId="63" fillId="3" borderId="1" xfId="0" applyFont="1" applyFill="1" applyBorder="1" applyAlignment="1">
      <alignment horizontal="left" vertical="center" wrapText="1"/>
    </xf>
    <xf numFmtId="165" fontId="48" fillId="3" borderId="1" xfId="0" applyNumberFormat="1" applyFont="1" applyFill="1" applyBorder="1" applyAlignment="1">
      <alignment horizontal="right" vertical="center"/>
    </xf>
    <xf numFmtId="165" fontId="42" fillId="7" borderId="1" xfId="0" applyNumberFormat="1" applyFont="1" applyFill="1" applyBorder="1" applyAlignment="1">
      <alignment horizontal="right" vertical="center"/>
    </xf>
    <xf numFmtId="0" fontId="66" fillId="7" borderId="1" xfId="0" applyFont="1" applyFill="1" applyBorder="1" applyAlignment="1">
      <alignment horizontal="left" vertical="center" wrapText="1"/>
    </xf>
    <xf numFmtId="0" fontId="62" fillId="22" borderId="1" xfId="0" applyFont="1" applyFill="1" applyBorder="1" applyAlignment="1">
      <alignment horizontal="left" vertical="center" wrapText="1"/>
    </xf>
    <xf numFmtId="164" fontId="62" fillId="22" borderId="1" xfId="0" applyNumberFormat="1" applyFont="1" applyFill="1" applyBorder="1" applyAlignment="1">
      <alignment horizontal="right" vertical="center"/>
    </xf>
    <xf numFmtId="171" fontId="12" fillId="8" borderId="1" xfId="0" applyNumberFormat="1" applyFont="1" applyFill="1" applyBorder="1" applyAlignment="1">
      <alignment horizontal="right" vertical="center"/>
    </xf>
    <xf numFmtId="0" fontId="47" fillId="4" borderId="1" xfId="0" applyFont="1" applyFill="1" applyBorder="1" applyAlignment="1">
      <alignment horizontal="left" vertical="center" wrapText="1"/>
    </xf>
    <xf numFmtId="0" fontId="11" fillId="8" borderId="1" xfId="0" applyFont="1" applyFill="1" applyBorder="1" applyAlignment="1">
      <alignment horizontal="left" vertical="center"/>
    </xf>
    <xf numFmtId="0" fontId="5" fillId="3" borderId="1" xfId="0" applyFont="1" applyFill="1" applyBorder="1" applyAlignment="1">
      <alignment horizontal="center" vertical="center"/>
    </xf>
    <xf numFmtId="164" fontId="5" fillId="3" borderId="1" xfId="0" applyNumberFormat="1" applyFont="1" applyFill="1" applyBorder="1" applyAlignment="1">
      <alignment horizontal="center" vertical="center"/>
    </xf>
    <xf numFmtId="172" fontId="5" fillId="3"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0" fillId="8" borderId="1" xfId="0" applyFill="1" applyBorder="1"/>
    <xf numFmtId="0" fontId="0" fillId="5" borderId="1" xfId="0" applyFill="1" applyBorder="1"/>
    <xf numFmtId="0" fontId="3" fillId="2" borderId="2" xfId="0" applyFont="1" applyFill="1" applyBorder="1" applyAlignment="1">
      <alignment horizontal="center" vertical="center"/>
    </xf>
    <xf numFmtId="0" fontId="8" fillId="2" borderId="2" xfId="0" applyFont="1" applyFill="1" applyBorder="1" applyAlignment="1">
      <alignment horizontal="center" vertical="center"/>
    </xf>
    <xf numFmtId="0" fontId="26" fillId="2" borderId="1" xfId="0" applyFont="1" applyFill="1" applyBorder="1" applyAlignment="1">
      <alignment horizontal="center" vertical="center"/>
    </xf>
    <xf numFmtId="0" fontId="27" fillId="2" borderId="0" xfId="0" applyFont="1" applyFill="1" applyAlignment="1">
      <alignment horizontal="center" vertical="center"/>
    </xf>
    <xf numFmtId="0" fontId="7" fillId="2" borderId="0" xfId="0" applyFont="1" applyFill="1" applyAlignment="1">
      <alignment horizontal="center" vertical="center"/>
    </xf>
    <xf numFmtId="0" fontId="20" fillId="4" borderId="0" xfId="0" applyFont="1" applyFill="1" applyAlignment="1">
      <alignment horizontal="center" vertical="center"/>
    </xf>
    <xf numFmtId="0" fontId="26" fillId="2" borderId="0" xfId="0" applyFont="1" applyFill="1" applyAlignment="1">
      <alignment horizontal="center" vertical="center"/>
    </xf>
    <xf numFmtId="172" fontId="23" fillId="3" borderId="1" xfId="0" applyNumberFormat="1" applyFont="1" applyFill="1" applyBorder="1" applyAlignment="1">
      <alignment horizontal="right" vertical="center"/>
    </xf>
    <xf numFmtId="164" fontId="23" fillId="3" borderId="1" xfId="0" applyNumberFormat="1" applyFont="1" applyFill="1" applyBorder="1" applyAlignment="1">
      <alignment horizontal="right" vertical="center"/>
    </xf>
    <xf numFmtId="165" fontId="23" fillId="3" borderId="1" xfId="0" applyNumberFormat="1" applyFont="1" applyFill="1" applyBorder="1" applyAlignment="1">
      <alignment horizontal="right" vertical="center"/>
    </xf>
    <xf numFmtId="0" fontId="2" fillId="2" borderId="1" xfId="0" applyFont="1" applyFill="1" applyBorder="1" applyAlignment="1">
      <alignment horizontal="center" vertical="center"/>
    </xf>
    <xf numFmtId="0" fontId="8" fillId="11" borderId="1" xfId="0" applyFont="1" applyFill="1" applyBorder="1" applyAlignment="1">
      <alignment horizontal="left" vertical="center"/>
    </xf>
    <xf numFmtId="0" fontId="12" fillId="3" borderId="1" xfId="0" applyFont="1" applyFill="1" applyBorder="1" applyAlignment="1">
      <alignment horizontal="left" vertical="center" wrapText="1"/>
    </xf>
    <xf numFmtId="0" fontId="10" fillId="7" borderId="1" xfId="0" applyFont="1" applyFill="1" applyBorder="1" applyAlignment="1">
      <alignment horizontal="center" vertical="center" wrapText="1"/>
    </xf>
    <xf numFmtId="0" fontId="36" fillId="5" borderId="1" xfId="0" applyFont="1" applyFill="1" applyBorder="1" applyAlignment="1">
      <alignment horizontal="left" vertical="center"/>
    </xf>
    <xf numFmtId="0" fontId="30" fillId="7"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42" fillId="7" borderId="1" xfId="0" applyFont="1" applyFill="1" applyBorder="1" applyAlignment="1">
      <alignment horizontal="center" vertical="center"/>
    </xf>
    <xf numFmtId="0" fontId="8" fillId="7" borderId="1" xfId="0" applyFont="1" applyFill="1" applyBorder="1" applyAlignment="1">
      <alignment horizontal="left" vertical="center"/>
    </xf>
    <xf numFmtId="0" fontId="8" fillId="16" borderId="1" xfId="0" applyFont="1" applyFill="1" applyBorder="1" applyAlignment="1">
      <alignment horizontal="left" vertical="center"/>
    </xf>
    <xf numFmtId="0" fontId="8" fillId="17" borderId="1" xfId="0" applyFont="1" applyFill="1" applyBorder="1" applyAlignment="1">
      <alignment horizontal="left" vertical="center"/>
    </xf>
    <xf numFmtId="0" fontId="51" fillId="7" borderId="1" xfId="0" applyFont="1" applyFill="1" applyBorder="1" applyAlignment="1">
      <alignment horizontal="left" vertical="center" wrapText="1"/>
    </xf>
    <xf numFmtId="0" fontId="8" fillId="5" borderId="1" xfId="0" applyFont="1" applyFill="1" applyBorder="1" applyAlignment="1">
      <alignment horizontal="left" vertical="center"/>
    </xf>
    <xf numFmtId="0" fontId="59" fillId="3" borderId="1" xfId="0" applyFont="1" applyFill="1" applyBorder="1" applyAlignment="1">
      <alignment horizontal="left" vertical="center" wrapText="1"/>
    </xf>
    <xf numFmtId="0" fontId="10" fillId="5" borderId="1" xfId="0" applyFont="1" applyFill="1" applyBorder="1" applyAlignment="1">
      <alignment horizontal="left" vertical="center"/>
    </xf>
    <xf numFmtId="0" fontId="65" fillId="3" borderId="1" xfId="0" applyFont="1" applyFill="1" applyBorder="1" applyAlignment="1">
      <alignment horizontal="left" vertical="center" wrapText="1"/>
    </xf>
    <xf numFmtId="0" fontId="8" fillId="21"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2E7D32"/>
      <rgbColor rgb="FF0000FF"/>
      <rgbColor rgb="FFFFFF00"/>
      <rgbColor rgb="FFC00000"/>
      <rgbColor rgb="FF00FFFF"/>
      <rgbColor rgb="FF870000"/>
      <rgbColor rgb="FF006400"/>
      <rgbColor rgb="FF455A64"/>
      <rgbColor rgb="FFB8860B"/>
      <rgbColor rgb="FF611F96"/>
      <rgbColor rgb="FF00695C"/>
      <rgbColor rgb="FFB3B3B3"/>
      <rgbColor rgb="FF7A8C6B"/>
      <rgbColor rgb="FF1E7B52"/>
      <rgbColor rgb="FFAD1457"/>
      <rgbColor rgb="FFFFFACD"/>
      <rgbColor rgb="FFEFF3F6"/>
      <rgbColor rgb="FF4A148C"/>
      <rgbColor rgb="FFF57F17"/>
      <rgbColor rgb="FF1565C0"/>
      <rgbColor rgb="FFD9D9D9"/>
      <rgbColor rgb="FF1F6B6B"/>
      <rgbColor rgb="FFE65100"/>
      <rgbColor rgb="FFFFFF00"/>
      <rgbColor rgb="FF00FFFF"/>
      <rgbColor rgb="FF4A0000"/>
      <rgbColor rgb="FF8B0000"/>
      <rgbColor rgb="FF0277BD"/>
      <rgbColor rgb="FF006100"/>
      <rgbColor rgb="FF22814A"/>
      <rgbColor rgb="FFF2F2F2"/>
      <rgbColor rgb="FFF5EEDC"/>
      <rgbColor rgb="FFFFF8E1"/>
      <rgbColor rgb="FFA9D18E"/>
      <rgbColor rgb="FFF3E5F5"/>
      <rgbColor rgb="FFF7F9F5"/>
      <rgbColor rgb="FFFBE9E7"/>
      <rgbColor rgb="FF4472C4"/>
      <rgbColor rgb="FF2E75B6"/>
      <rgbColor rgb="FFF37F03"/>
      <rgbColor rgb="FFFFC000"/>
      <rgbColor rgb="FFFF8C00"/>
      <rgbColor rgb="FFE35F03"/>
      <rgbColor rgb="FF595959"/>
      <rgbColor rgb="FF70AD47"/>
      <rgbColor rgb="FF1F3864"/>
      <rgbColor rgb="FF2E8B57"/>
      <rgbColor rgb="FF004D40"/>
      <rgbColor rgb="FF1B5E20"/>
      <rgbColor rgb="FFBF360C"/>
      <rgbColor rgb="FF7030A0"/>
      <rgbColor rgb="FF502689"/>
      <rgbColor rgb="FF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lineChart>
        <c:grouping val="standard"/>
        <c:varyColors val="0"/>
        <c:ser>
          <c:idx val="0"/>
          <c:order val="0"/>
          <c:tx>
            <c:strRef>
              <c:f>ChartData!$C$1</c:f>
              <c:strCache>
                <c:ptCount val="1"/>
                <c:pt idx="0">
                  <c:v>Closing Balance</c:v>
                </c:pt>
              </c:strCache>
            </c:strRef>
          </c:tx>
          <c:spPr>
            <a:ln w="24840">
              <a:solidFill>
                <a:srgbClr val="1F3864"/>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ChartData!$A$2:$A$31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ChartData!$C$2:$C$31</c:f>
              <c:numCache>
                <c:formatCode>\$#,##0;"($"#,##0\);\-</c:formatCode>
                <c:ptCount val="30"/>
                <c:pt idx="0">
                  <c:v>120796.35312499999</c:v>
                </c:pt>
                <c:pt idx="1">
                  <c:v>143685.47509140626</c:v>
                </c:pt>
                <c:pt idx="2">
                  <c:v>168385.32152288925</c:v>
                </c:pt>
                <c:pt idx="3">
                  <c:v>195015.55381461841</c:v>
                </c:pt>
                <c:pt idx="4">
                  <c:v>223703.20673510575</c:v>
                </c:pt>
                <c:pt idx="5">
                  <c:v>254583.12794045336</c:v>
                </c:pt>
                <c:pt idx="6">
                  <c:v>287798.44323732087</c:v>
                </c:pt>
                <c:pt idx="7">
                  <c:v>323501.04908872308</c:v>
                </c:pt>
                <c:pt idx="8">
                  <c:v>361852.13394299161</c:v>
                </c:pt>
                <c:pt idx="9">
                  <c:v>403022.73005742085</c:v>
                </c:pt>
                <c:pt idx="10">
                  <c:v>447194.29758454743</c:v>
                </c:pt>
                <c:pt idx="11">
                  <c:v>494559.34279098816</c:v>
                </c:pt>
                <c:pt idx="12">
                  <c:v>545322.0723866031</c:v>
                </c:pt>
                <c:pt idx="13">
                  <c:v>599699.08605578996</c:v>
                </c:pt>
                <c:pt idx="14">
                  <c:v>657920.10940331582</c:v>
                </c:pt>
                <c:pt idx="15">
                  <c:v>720228.76965462381</c:v>
                </c:pt>
                <c:pt idx="16">
                  <c:v>786883.41658541549</c:v>
                </c:pt>
                <c:pt idx="17">
                  <c:v>858157.99129792454</c:v>
                </c:pt>
                <c:pt idx="18">
                  <c:v>934342.94561211031</c:v>
                </c:pt>
                <c:pt idx="19">
                  <c:v>1015746.2149994798</c:v>
                </c:pt>
                <c:pt idx="20">
                  <c:v>1102694.2481558903</c:v>
                </c:pt>
                <c:pt idx="21">
                  <c:v>1195533.0964880199</c:v>
                </c:pt>
                <c:pt idx="22">
                  <c:v>1294629.5669767782</c:v>
                </c:pt>
                <c:pt idx="23">
                  <c:v>1400372.4420803399</c:v>
                </c:pt>
                <c:pt idx="24">
                  <c:v>1513173.7705503628</c:v>
                </c:pt>
                <c:pt idx="25">
                  <c:v>1633470.2332579356</c:v>
                </c:pt>
                <c:pt idx="26">
                  <c:v>1761724.588361593</c:v>
                </c:pt>
                <c:pt idx="27">
                  <c:v>1898427.2003990782</c:v>
                </c:pt>
                <c:pt idx="28">
                  <c:v>2044097.6581481865</c:v>
                </c:pt>
                <c:pt idx="29">
                  <c:v>2199286.4863808248</c:v>
                </c:pt>
              </c:numCache>
            </c:numRef>
          </c:val>
          <c:smooth val="1"/>
          <c:extLst>
            <c:ext xmlns:c16="http://schemas.microsoft.com/office/drawing/2014/chart" uri="{C3380CC4-5D6E-409C-BE32-E72D297353CC}">
              <c16:uniqueId val="{00000000-BF4E-4CE5-94F6-853F4BFB4882}"/>
            </c:ext>
          </c:extLst>
        </c:ser>
        <c:ser>
          <c:idx val="1"/>
          <c:order val="1"/>
          <c:tx>
            <c:strRef>
              <c:f>ChartData!$D$1</c:f>
              <c:strCache>
                <c:ptCount val="1"/>
                <c:pt idx="0">
                  <c:v>Real Balance</c:v>
                </c:pt>
              </c:strCache>
            </c:strRef>
          </c:tx>
          <c:spPr>
            <a:ln w="20160">
              <a:solidFill>
                <a:srgbClr val="2E75B6"/>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ChartData!$A$2:$A$31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ChartData!$D$2:$D$31</c:f>
              <c:numCache>
                <c:formatCode>\$#,##0;"($"#,##0\);\-</c:formatCode>
                <c:ptCount val="30"/>
                <c:pt idx="0">
                  <c:v>117850.1006097561</c:v>
                </c:pt>
                <c:pt idx="1">
                  <c:v>136761.90371579418</c:v>
                </c:pt>
                <c:pt idx="2">
                  <c:v>156362.51037368746</c:v>
                </c:pt>
                <c:pt idx="3">
                  <c:v>176674.4667243349</c:v>
                </c:pt>
                <c:pt idx="4">
                  <c:v>197721.03842482142</c:v>
                </c:pt>
                <c:pt idx="5">
                  <c:v>219526.23334947511</c:v>
                </c:pt>
                <c:pt idx="6">
                  <c:v>242114.82500668679</c:v>
                </c:pt>
                <c:pt idx="7">
                  <c:v>265512.37669400719</c:v>
                </c:pt>
                <c:pt idx="8">
                  <c:v>289745.26641474152</c:v>
                </c:pt>
                <c:pt idx="9">
                  <c:v>314840.71257999633</c:v>
                </c:pt>
                <c:pt idx="10">
                  <c:v>340826.8005208855</c:v>
                </c:pt>
                <c:pt idx="11">
                  <c:v>367732.50983637926</c:v>
                </c:pt>
                <c:pt idx="12">
                  <c:v>395587.74260308529</c:v>
                </c:pt>
                <c:pt idx="13">
                  <c:v>424423.35247407551</c:v>
                </c:pt>
                <c:pt idx="14">
                  <c:v>454271.17469472694</c:v>
                </c:pt>
                <c:pt idx="15">
                  <c:v>485164.05706442683</c:v>
                </c:pt>
                <c:pt idx="16">
                  <c:v>517135.89187389659</c:v>
                </c:pt>
                <c:pt idx="17">
                  <c:v>550221.64884883002</c:v>
                </c:pt>
                <c:pt idx="18">
                  <c:v>584457.40913150436</c:v>
                </c:pt>
                <c:pt idx="19">
                  <c:v>619880.40033302072</c:v>
                </c:pt>
                <c:pt idx="20">
                  <c:v>656529.03268985788</c:v>
                </c:pt>
                <c:pt idx="21">
                  <c:v>694442.93635948224</c:v>
                </c:pt>
                <c:pt idx="22">
                  <c:v>733662.99989085505</c:v>
                </c:pt>
                <c:pt idx="23">
                  <c:v>774231.40990679804</c:v>
                </c:pt>
                <c:pt idx="24">
                  <c:v>816191.69203634956</c:v>
                </c:pt>
                <c:pt idx="25">
                  <c:v>859588.75313643971</c:v>
                </c:pt>
                <c:pt idx="26">
                  <c:v>904468.92484345008</c:v>
                </c:pt>
                <c:pt idx="27">
                  <c:v>950880.00849650369</c:v>
                </c:pt>
                <c:pt idx="28">
                  <c:v>998871.32147564285</c:v>
                </c:pt>
                <c:pt idx="29">
                  <c:v>1048493.7449994171</c:v>
                </c:pt>
              </c:numCache>
            </c:numRef>
          </c:val>
          <c:smooth val="1"/>
          <c:extLst>
            <c:ext xmlns:c16="http://schemas.microsoft.com/office/drawing/2014/chart" uri="{C3380CC4-5D6E-409C-BE32-E72D297353CC}">
              <c16:uniqueId val="{00000001-BF4E-4CE5-94F6-853F4BFB4882}"/>
            </c:ext>
          </c:extLst>
        </c:ser>
        <c:dLbls>
          <c:showLegendKey val="0"/>
          <c:showVal val="0"/>
          <c:showCatName val="0"/>
          <c:showSerName val="0"/>
          <c:showPercent val="0"/>
          <c:showBubbleSize val="0"/>
        </c:dLbls>
        <c:hiLowLines>
          <c:spPr>
            <a:ln w="0">
              <a:noFill/>
            </a:ln>
          </c:spPr>
        </c:hiLowLines>
        <c:smooth val="0"/>
        <c:axId val="48049122"/>
        <c:axId val="87624831"/>
      </c:lineChart>
      <c:catAx>
        <c:axId val="48049122"/>
        <c:scaling>
          <c:orientation val="minMax"/>
        </c:scaling>
        <c:delete val="0"/>
        <c:axPos val="b"/>
        <c:title>
          <c:tx>
            <c:rich>
              <a:bodyPr rot="0"/>
              <a:lstStyle/>
              <a:p>
                <a:pPr>
                  <a:defRPr lang="en-AU" sz="1000" b="1" strike="noStrike" spc="-1">
                    <a:solidFill>
                      <a:srgbClr val="000000"/>
                    </a:solidFill>
                    <a:latin typeface="Calibri"/>
                  </a:defRPr>
                </a:pPr>
                <a:r>
                  <a:rPr lang="en-AU" sz="1000" b="1" strike="noStrike" spc="-1">
                    <a:solidFill>
                      <a:srgbClr val="000000"/>
                    </a:solidFill>
                    <a:latin typeface="Calibri"/>
                  </a:rPr>
                  <a:t>Year</a:t>
                </a:r>
              </a:p>
            </c:rich>
          </c:tx>
          <c:overlay val="0"/>
          <c:spPr>
            <a:noFill/>
            <a:ln w="0">
              <a:noFill/>
            </a:ln>
          </c:spPr>
        </c:title>
        <c:numFmt formatCode="General"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87624831"/>
        <c:crosses val="autoZero"/>
        <c:auto val="1"/>
        <c:lblAlgn val="ctr"/>
        <c:lblOffset val="100"/>
        <c:noMultiLvlLbl val="0"/>
      </c:catAx>
      <c:valAx>
        <c:axId val="87624831"/>
        <c:scaling>
          <c:orientation val="minMax"/>
        </c:scaling>
        <c:delete val="0"/>
        <c:axPos val="l"/>
        <c:majorGridlines>
          <c:spPr>
            <a:ln w="0">
              <a:solidFill>
                <a:srgbClr val="B3B3B3"/>
              </a:solidFill>
            </a:ln>
          </c:spPr>
        </c:majorGridlines>
        <c:title>
          <c:tx>
            <c:rich>
              <a:bodyPr rot="-5400000"/>
              <a:lstStyle/>
              <a:p>
                <a:pPr>
                  <a:defRPr lang="en-AU" sz="1000" b="1" strike="noStrike" spc="-1">
                    <a:solidFill>
                      <a:srgbClr val="000000"/>
                    </a:solidFill>
                    <a:latin typeface="Calibri"/>
                  </a:defRPr>
                </a:pPr>
                <a:r>
                  <a:rPr lang="en-AU" sz="1000" b="1" strike="noStrike" spc="-1">
                    <a:solidFill>
                      <a:srgbClr val="000000"/>
                    </a:solidFill>
                    <a:latin typeface="Calibri"/>
                  </a:rPr>
                  <a:t>Balance ($)</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48049122"/>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barChart>
        <c:barDir val="col"/>
        <c:grouping val="clustered"/>
        <c:varyColors val="0"/>
        <c:ser>
          <c:idx val="0"/>
          <c:order val="0"/>
          <c:tx>
            <c:v>SMSF Annual Cost ($)</c:v>
          </c:tx>
          <c:spPr>
            <a:solidFill>
              <a:srgbClr val="1565C0"/>
            </a:solidFill>
            <a:ln w="9360">
              <a:solidFill>
                <a:srgbClr val="1565C0"/>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'SMSF Guide'!$B$49:$B$59</c:f>
              <c:strCache>
                <c:ptCount val="11"/>
                <c:pt idx="0">
                  <c:v>Balance</c:v>
                </c:pt>
                <c:pt idx="1">
                  <c:v>100000</c:v>
                </c:pt>
                <c:pt idx="2">
                  <c:v>200000</c:v>
                </c:pt>
                <c:pt idx="3">
                  <c:v>300000</c:v>
                </c:pt>
                <c:pt idx="4">
                  <c:v>400000</c:v>
                </c:pt>
                <c:pt idx="5">
                  <c:v>500000</c:v>
                </c:pt>
                <c:pt idx="6">
                  <c:v>600000</c:v>
                </c:pt>
                <c:pt idx="7">
                  <c:v>750000</c:v>
                </c:pt>
                <c:pt idx="8">
                  <c:v>1000000</c:v>
                </c:pt>
                <c:pt idx="9">
                  <c:v>1500000</c:v>
                </c:pt>
                <c:pt idx="10">
                  <c:v>2000000</c:v>
                </c:pt>
              </c:strCache>
            </c:strRef>
          </c:cat>
          <c:val>
            <c:numRef>
              <c:f>'SMSF Guide'!$C$49:$C$59</c:f>
              <c:numCache>
                <c:formatCode>General</c:formatCode>
                <c:ptCount val="11"/>
                <c:pt idx="0">
                  <c:v>0</c:v>
                </c:pt>
                <c:pt idx="1">
                  <c:v>4800</c:v>
                </c:pt>
                <c:pt idx="2">
                  <c:v>5100</c:v>
                </c:pt>
                <c:pt idx="3">
                  <c:v>5400</c:v>
                </c:pt>
                <c:pt idx="4">
                  <c:v>5700</c:v>
                </c:pt>
                <c:pt idx="5">
                  <c:v>6000</c:v>
                </c:pt>
                <c:pt idx="6">
                  <c:v>6300</c:v>
                </c:pt>
                <c:pt idx="7">
                  <c:v>6750</c:v>
                </c:pt>
                <c:pt idx="8">
                  <c:v>7500</c:v>
                </c:pt>
                <c:pt idx="9">
                  <c:v>9000</c:v>
                </c:pt>
                <c:pt idx="10">
                  <c:v>10500</c:v>
                </c:pt>
              </c:numCache>
            </c:numRef>
          </c:val>
          <c:extLst>
            <c:ext xmlns:c16="http://schemas.microsoft.com/office/drawing/2014/chart" uri="{C3380CC4-5D6E-409C-BE32-E72D297353CC}">
              <c16:uniqueId val="{00000000-D075-4CEB-A5A4-4CEACCCB0F6F}"/>
            </c:ext>
          </c:extLst>
        </c:ser>
        <c:ser>
          <c:idx val="1"/>
          <c:order val="1"/>
          <c:tx>
            <c:v>APRA Fund Annual Cost ($)</c:v>
          </c:tx>
          <c:spPr>
            <a:solidFill>
              <a:srgbClr val="2E75B6"/>
            </a:solidFill>
            <a:ln w="9360">
              <a:solidFill>
                <a:srgbClr val="2E75B6"/>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'SMSF Guide'!$B$49:$B$59</c:f>
              <c:strCache>
                <c:ptCount val="11"/>
                <c:pt idx="0">
                  <c:v>Balance</c:v>
                </c:pt>
                <c:pt idx="1">
                  <c:v>100000</c:v>
                </c:pt>
                <c:pt idx="2">
                  <c:v>200000</c:v>
                </c:pt>
                <c:pt idx="3">
                  <c:v>300000</c:v>
                </c:pt>
                <c:pt idx="4">
                  <c:v>400000</c:v>
                </c:pt>
                <c:pt idx="5">
                  <c:v>500000</c:v>
                </c:pt>
                <c:pt idx="6">
                  <c:v>600000</c:v>
                </c:pt>
                <c:pt idx="7">
                  <c:v>750000</c:v>
                </c:pt>
                <c:pt idx="8">
                  <c:v>1000000</c:v>
                </c:pt>
                <c:pt idx="9">
                  <c:v>1500000</c:v>
                </c:pt>
                <c:pt idx="10">
                  <c:v>2000000</c:v>
                </c:pt>
              </c:strCache>
            </c:strRef>
          </c:cat>
          <c:val>
            <c:numRef>
              <c:f>'SMSF Guide'!$D$49:$D$59</c:f>
              <c:numCache>
                <c:formatCode>General</c:formatCode>
                <c:ptCount val="11"/>
                <c:pt idx="0">
                  <c:v>0</c:v>
                </c:pt>
                <c:pt idx="1">
                  <c:v>720</c:v>
                </c:pt>
                <c:pt idx="2">
                  <c:v>1320</c:v>
                </c:pt>
                <c:pt idx="3">
                  <c:v>1920</c:v>
                </c:pt>
                <c:pt idx="4">
                  <c:v>2520</c:v>
                </c:pt>
                <c:pt idx="5">
                  <c:v>3120</c:v>
                </c:pt>
                <c:pt idx="6">
                  <c:v>3720</c:v>
                </c:pt>
                <c:pt idx="7">
                  <c:v>4620</c:v>
                </c:pt>
                <c:pt idx="8">
                  <c:v>6120</c:v>
                </c:pt>
                <c:pt idx="9">
                  <c:v>9120</c:v>
                </c:pt>
                <c:pt idx="10">
                  <c:v>12120</c:v>
                </c:pt>
              </c:numCache>
            </c:numRef>
          </c:val>
          <c:extLst>
            <c:ext xmlns:c16="http://schemas.microsoft.com/office/drawing/2014/chart" uri="{C3380CC4-5D6E-409C-BE32-E72D297353CC}">
              <c16:uniqueId val="{00000001-D075-4CEB-A5A4-4CEACCCB0F6F}"/>
            </c:ext>
          </c:extLst>
        </c:ser>
        <c:dLbls>
          <c:showLegendKey val="0"/>
          <c:showVal val="0"/>
          <c:showCatName val="0"/>
          <c:showSerName val="0"/>
          <c:showPercent val="0"/>
          <c:showBubbleSize val="0"/>
        </c:dLbls>
        <c:gapWidth val="150"/>
        <c:axId val="58665124"/>
        <c:axId val="99810099"/>
      </c:barChart>
      <c:catAx>
        <c:axId val="58665124"/>
        <c:scaling>
          <c:orientation val="minMax"/>
        </c:scaling>
        <c:delete val="0"/>
        <c:axPos val="b"/>
        <c:title>
          <c:tx>
            <c:rich>
              <a:bodyPr rot="0"/>
              <a:lstStyle/>
              <a:p>
                <a:pPr>
                  <a:defRPr lang="en-AU" sz="1000" b="1" strike="noStrike" spc="-1">
                    <a:solidFill>
                      <a:srgbClr val="000000"/>
                    </a:solidFill>
                    <a:latin typeface="Calibri"/>
                  </a:defRPr>
                </a:pPr>
                <a:r>
                  <a:rPr lang="en-AU" sz="1000" b="1" strike="noStrike" spc="-1">
                    <a:solidFill>
                      <a:srgbClr val="000000"/>
                    </a:solidFill>
                    <a:latin typeface="Calibri"/>
                  </a:rPr>
                  <a:t>SMSF Balance ($)</a:t>
                </a:r>
              </a:p>
            </c:rich>
          </c:tx>
          <c:overlay val="0"/>
          <c:spPr>
            <a:noFill/>
            <a:ln w="0">
              <a:noFill/>
            </a:ln>
          </c:spPr>
        </c:title>
        <c:numFmt formatCode="General"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99810099"/>
        <c:crosses val="autoZero"/>
        <c:auto val="1"/>
        <c:lblAlgn val="ctr"/>
        <c:lblOffset val="100"/>
        <c:noMultiLvlLbl val="0"/>
      </c:catAx>
      <c:valAx>
        <c:axId val="99810099"/>
        <c:scaling>
          <c:orientation val="minMax"/>
        </c:scaling>
        <c:delete val="0"/>
        <c:axPos val="l"/>
        <c:majorGridlines>
          <c:spPr>
            <a:ln w="0">
              <a:solidFill>
                <a:srgbClr val="B3B3B3"/>
              </a:solidFill>
            </a:ln>
          </c:spPr>
        </c:majorGridlines>
        <c:title>
          <c:tx>
            <c:rich>
              <a:bodyPr rot="-5400000"/>
              <a:lstStyle/>
              <a:p>
                <a:pPr>
                  <a:defRPr lang="en-AU" sz="1000" b="1" strike="noStrike" spc="-1">
                    <a:solidFill>
                      <a:srgbClr val="000000"/>
                    </a:solidFill>
                    <a:latin typeface="Calibri"/>
                  </a:defRPr>
                </a:pPr>
                <a:r>
                  <a:rPr lang="en-AU" sz="1000" b="1" strike="noStrike" spc="-1">
                    <a:solidFill>
                      <a:srgbClr val="000000"/>
                    </a:solidFill>
                    <a:latin typeface="Calibri"/>
                  </a:rPr>
                  <a:t>Annual Cost ($)</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58665124"/>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barChart>
        <c:barDir val="col"/>
        <c:grouping val="clustered"/>
        <c:varyColors val="0"/>
        <c:ser>
          <c:idx val="0"/>
          <c:order val="0"/>
          <c:tx>
            <c:v>FY2023</c:v>
          </c:tx>
          <c:spPr>
            <a:solidFill>
              <a:srgbClr val="2E75B6"/>
            </a:solidFill>
            <a:ln w="9360">
              <a:solidFill>
                <a:srgbClr val="2E75B6"/>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'Fund Choice &amp; Consolidation'!$B$25:$B$29</c:f>
              <c:strCache>
                <c:ptCount val="5"/>
                <c:pt idx="0">
                  <c:v>Industry</c:v>
                </c:pt>
                <c:pt idx="1">
                  <c:v>Retail</c:v>
                </c:pt>
                <c:pt idx="2">
                  <c:v>SMSF</c:v>
                </c:pt>
                <c:pt idx="3">
                  <c:v>Corporate</c:v>
                </c:pt>
                <c:pt idx="4">
                  <c:v>Public</c:v>
                </c:pt>
              </c:strCache>
            </c:strRef>
          </c:cat>
          <c:val>
            <c:numRef>
              <c:f>'Fund Choice &amp; Consolidation'!$C$24:$C$29</c:f>
              <c:numCache>
                <c:formatCode>0.0%;\-0.0%;\-</c:formatCode>
                <c:ptCount val="6"/>
                <c:pt idx="0" formatCode="General">
                  <c:v>0</c:v>
                </c:pt>
                <c:pt idx="1">
                  <c:v>0.38200000000000001</c:v>
                </c:pt>
                <c:pt idx="2">
                  <c:v>0.28799999999999998</c:v>
                </c:pt>
                <c:pt idx="3">
                  <c:v>0.3</c:v>
                </c:pt>
                <c:pt idx="4">
                  <c:v>1.7999999999999999E-2</c:v>
                </c:pt>
                <c:pt idx="5">
                  <c:v>1.2E-2</c:v>
                </c:pt>
              </c:numCache>
            </c:numRef>
          </c:val>
          <c:extLst>
            <c:ext xmlns:c16="http://schemas.microsoft.com/office/drawing/2014/chart" uri="{C3380CC4-5D6E-409C-BE32-E72D297353CC}">
              <c16:uniqueId val="{00000000-BCC2-4127-8EE5-121A48375F5E}"/>
            </c:ext>
          </c:extLst>
        </c:ser>
        <c:ser>
          <c:idx val="1"/>
          <c:order val="1"/>
          <c:tx>
            <c:v>FY2024</c:v>
          </c:tx>
          <c:spPr>
            <a:solidFill>
              <a:srgbClr val="1B5E20"/>
            </a:solidFill>
            <a:ln w="9360">
              <a:solidFill>
                <a:srgbClr val="1B5E20"/>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'Fund Choice &amp; Consolidation'!$B$25:$B$29</c:f>
              <c:strCache>
                <c:ptCount val="5"/>
                <c:pt idx="0">
                  <c:v>Industry</c:v>
                </c:pt>
                <c:pt idx="1">
                  <c:v>Retail</c:v>
                </c:pt>
                <c:pt idx="2">
                  <c:v>SMSF</c:v>
                </c:pt>
                <c:pt idx="3">
                  <c:v>Corporate</c:v>
                </c:pt>
                <c:pt idx="4">
                  <c:v>Public</c:v>
                </c:pt>
              </c:strCache>
            </c:strRef>
          </c:cat>
          <c:val>
            <c:numRef>
              <c:f>'Fund Choice &amp; Consolidation'!$D$24:$D$29</c:f>
              <c:numCache>
                <c:formatCode>0.0%;\-0.0%;\-</c:formatCode>
                <c:ptCount val="6"/>
                <c:pt idx="0" formatCode="General">
                  <c:v>0</c:v>
                </c:pt>
                <c:pt idx="1">
                  <c:v>0.4</c:v>
                </c:pt>
                <c:pt idx="2">
                  <c:v>0.27500000000000002</c:v>
                </c:pt>
                <c:pt idx="3">
                  <c:v>0.27</c:v>
                </c:pt>
                <c:pt idx="4">
                  <c:v>1.7000000000000001E-2</c:v>
                </c:pt>
                <c:pt idx="5">
                  <c:v>1.0999999999999999E-2</c:v>
                </c:pt>
              </c:numCache>
            </c:numRef>
          </c:val>
          <c:extLst>
            <c:ext xmlns:c16="http://schemas.microsoft.com/office/drawing/2014/chart" uri="{C3380CC4-5D6E-409C-BE32-E72D297353CC}">
              <c16:uniqueId val="{00000001-BCC2-4127-8EE5-121A48375F5E}"/>
            </c:ext>
          </c:extLst>
        </c:ser>
        <c:dLbls>
          <c:showLegendKey val="0"/>
          <c:showVal val="0"/>
          <c:showCatName val="0"/>
          <c:showSerName val="0"/>
          <c:showPercent val="0"/>
          <c:showBubbleSize val="0"/>
        </c:dLbls>
        <c:gapWidth val="150"/>
        <c:axId val="7633134"/>
        <c:axId val="83487811"/>
      </c:barChart>
      <c:catAx>
        <c:axId val="7633134"/>
        <c:scaling>
          <c:orientation val="minMax"/>
        </c:scaling>
        <c:delete val="0"/>
        <c:axPos val="b"/>
        <c:title>
          <c:tx>
            <c:rich>
              <a:bodyPr rot="0"/>
              <a:lstStyle/>
              <a:p>
                <a:pPr>
                  <a:defRPr lang="en-AU" sz="1000" b="1" strike="noStrike" spc="-1">
                    <a:solidFill>
                      <a:srgbClr val="000000"/>
                    </a:solidFill>
                    <a:latin typeface="Calibri"/>
                  </a:defRPr>
                </a:pPr>
                <a:r>
                  <a:rPr lang="en-AU" sz="1000" b="1" strike="noStrike" spc="-1">
                    <a:solidFill>
                      <a:srgbClr val="000000"/>
                    </a:solidFill>
                    <a:latin typeface="Calibri"/>
                  </a:rPr>
                  <a:t>Fund Type</a:t>
                </a:r>
              </a:p>
            </c:rich>
          </c:tx>
          <c:overlay val="0"/>
          <c:spPr>
            <a:noFill/>
            <a:ln w="0">
              <a:noFill/>
            </a:ln>
          </c:spPr>
        </c:title>
        <c:numFmt formatCode="General"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83487811"/>
        <c:crosses val="autoZero"/>
        <c:auto val="1"/>
        <c:lblAlgn val="ctr"/>
        <c:lblOffset val="100"/>
        <c:noMultiLvlLbl val="0"/>
      </c:catAx>
      <c:valAx>
        <c:axId val="83487811"/>
        <c:scaling>
          <c:orientation val="minMax"/>
        </c:scaling>
        <c:delete val="0"/>
        <c:axPos val="l"/>
        <c:majorGridlines>
          <c:spPr>
            <a:ln w="0">
              <a:solidFill>
                <a:srgbClr val="B3B3B3"/>
              </a:solidFill>
            </a:ln>
          </c:spPr>
        </c:majorGridlines>
        <c:title>
          <c:tx>
            <c:rich>
              <a:bodyPr rot="-5400000"/>
              <a:lstStyle/>
              <a:p>
                <a:pPr>
                  <a:defRPr lang="en-AU" sz="1000" b="1" strike="noStrike" spc="-1">
                    <a:solidFill>
                      <a:srgbClr val="000000"/>
                    </a:solidFill>
                    <a:latin typeface="Calibri"/>
                  </a:defRPr>
                </a:pPr>
                <a:r>
                  <a:rPr lang="en-AU" sz="1000" b="1" strike="noStrike" spc="-1">
                    <a:solidFill>
                      <a:srgbClr val="000000"/>
                    </a:solidFill>
                    <a:latin typeface="Calibri"/>
                  </a:rPr>
                  <a:t>Market Share (%)</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7633134"/>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lineChart>
        <c:grouping val="standard"/>
        <c:varyColors val="0"/>
        <c:ser>
          <c:idx val="0"/>
          <c:order val="0"/>
          <c:tx>
            <c:v>0.50% Total Fees</c:v>
          </c:tx>
          <c:spPr>
            <a:ln w="21960">
              <a:solidFill>
                <a:srgbClr val="006400"/>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'Fees — Silent Killer'!$H$29:$H$59</c:f>
              <c:numCache>
                <c:formatCode>General</c:formatCode>
                <c:ptCount val="31"/>
                <c:pt idx="0">
                  <c:v>0</c:v>
                </c:pt>
                <c:pt idx="1">
                  <c:v>1</c:v>
                </c:pt>
                <c:pt idx="2">
                  <c:v>2</c:v>
                </c:pt>
                <c:pt idx="3">
                  <c:v>3</c:v>
                </c:pt>
                <c:pt idx="4">
                  <c:v>4</c:v>
                </c:pt>
                <c:pt idx="5">
                  <c:v>5</c:v>
                </c:pt>
                <c:pt idx="6">
                  <c:v>6</c:v>
                </c:pt>
                <c:pt idx="7">
                  <c:v>7</c:v>
                </c:pt>
                <c:pt idx="8">
                  <c:v>8</c:v>
                </c:pt>
                <c:pt idx="9">
                  <c:v>9</c:v>
                </c:pt>
                <c:pt idx="10">
                  <c:v>10</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'Fees — Silent Killer'!$I$29:$I$59</c:f>
              <c:numCache>
                <c:formatCode>\$#,##0;"($"#,##0\);\-</c:formatCode>
                <c:ptCount val="31"/>
                <c:pt idx="0">
                  <c:v>200000</c:v>
                </c:pt>
                <c:pt idx="1">
                  <c:v>227000</c:v>
                </c:pt>
                <c:pt idx="2">
                  <c:v>256025</c:v>
                </c:pt>
                <c:pt idx="3">
                  <c:v>287227</c:v>
                </c:pt>
                <c:pt idx="4">
                  <c:v>320769</c:v>
                </c:pt>
                <c:pt idx="5">
                  <c:v>356827</c:v>
                </c:pt>
                <c:pt idx="6">
                  <c:v>395589</c:v>
                </c:pt>
                <c:pt idx="7">
                  <c:v>437258</c:v>
                </c:pt>
                <c:pt idx="8">
                  <c:v>482052</c:v>
                </c:pt>
                <c:pt idx="9">
                  <c:v>530206</c:v>
                </c:pt>
                <c:pt idx="10">
                  <c:v>581971</c:v>
                </c:pt>
                <c:pt idx="12">
                  <c:v>697441</c:v>
                </c:pt>
                <c:pt idx="13">
                  <c:v>761749</c:v>
                </c:pt>
                <c:pt idx="14">
                  <c:v>830880</c:v>
                </c:pt>
                <c:pt idx="15">
                  <c:v>905196</c:v>
                </c:pt>
                <c:pt idx="16">
                  <c:v>985086</c:v>
                </c:pt>
                <c:pt idx="17">
                  <c:v>1070967</c:v>
                </c:pt>
                <c:pt idx="18">
                  <c:v>1163289</c:v>
                </c:pt>
                <c:pt idx="19">
                  <c:v>1262536</c:v>
                </c:pt>
                <c:pt idx="20">
                  <c:v>1369226</c:v>
                </c:pt>
                <c:pt idx="21">
                  <c:v>1483918</c:v>
                </c:pt>
                <c:pt idx="22">
                  <c:v>1607212</c:v>
                </c:pt>
                <c:pt idx="23">
                  <c:v>1739753</c:v>
                </c:pt>
                <c:pt idx="24">
                  <c:v>1882235</c:v>
                </c:pt>
                <c:pt idx="25">
                  <c:v>2035402</c:v>
                </c:pt>
                <c:pt idx="26">
                  <c:v>2200057</c:v>
                </c:pt>
                <c:pt idx="27">
                  <c:v>2377062</c:v>
                </c:pt>
                <c:pt idx="28">
                  <c:v>2567341</c:v>
                </c:pt>
                <c:pt idx="29">
                  <c:v>2771892</c:v>
                </c:pt>
                <c:pt idx="30">
                  <c:v>2991784</c:v>
                </c:pt>
              </c:numCache>
            </c:numRef>
          </c:val>
          <c:smooth val="1"/>
          <c:extLst>
            <c:ext xmlns:c16="http://schemas.microsoft.com/office/drawing/2014/chart" uri="{C3380CC4-5D6E-409C-BE32-E72D297353CC}">
              <c16:uniqueId val="{00000000-AE30-468E-A490-4EFF4ECD7AB3}"/>
            </c:ext>
          </c:extLst>
        </c:ser>
        <c:ser>
          <c:idx val="1"/>
          <c:order val="1"/>
          <c:tx>
            <c:v>1.00% Total Fees</c:v>
          </c:tx>
          <c:spPr>
            <a:ln w="21960">
              <a:solidFill>
                <a:srgbClr val="B8860B"/>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'Fees — Silent Killer'!$H$29:$H$59</c:f>
              <c:numCache>
                <c:formatCode>General</c:formatCode>
                <c:ptCount val="31"/>
                <c:pt idx="0">
                  <c:v>0</c:v>
                </c:pt>
                <c:pt idx="1">
                  <c:v>1</c:v>
                </c:pt>
                <c:pt idx="2">
                  <c:v>2</c:v>
                </c:pt>
                <c:pt idx="3">
                  <c:v>3</c:v>
                </c:pt>
                <c:pt idx="4">
                  <c:v>4</c:v>
                </c:pt>
                <c:pt idx="5">
                  <c:v>5</c:v>
                </c:pt>
                <c:pt idx="6">
                  <c:v>6</c:v>
                </c:pt>
                <c:pt idx="7">
                  <c:v>7</c:v>
                </c:pt>
                <c:pt idx="8">
                  <c:v>8</c:v>
                </c:pt>
                <c:pt idx="9">
                  <c:v>9</c:v>
                </c:pt>
                <c:pt idx="10">
                  <c:v>10</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'Fees — Silent Killer'!$J$29:$J$59</c:f>
              <c:numCache>
                <c:formatCode>\$#,##0;"($"#,##0\);\-</c:formatCode>
                <c:ptCount val="31"/>
                <c:pt idx="0">
                  <c:v>200000</c:v>
                </c:pt>
                <c:pt idx="1">
                  <c:v>226000</c:v>
                </c:pt>
                <c:pt idx="2">
                  <c:v>253820</c:v>
                </c:pt>
                <c:pt idx="3">
                  <c:v>283587</c:v>
                </c:pt>
                <c:pt idx="4">
                  <c:v>315439</c:v>
                </c:pt>
                <c:pt idx="5">
                  <c:v>349519</c:v>
                </c:pt>
                <c:pt idx="6">
                  <c:v>385986</c:v>
                </c:pt>
                <c:pt idx="7">
                  <c:v>425005</c:v>
                </c:pt>
                <c:pt idx="8">
                  <c:v>466755</c:v>
                </c:pt>
                <c:pt idx="9">
                  <c:v>511428</c:v>
                </c:pt>
                <c:pt idx="10">
                  <c:v>559228</c:v>
                </c:pt>
                <c:pt idx="12">
                  <c:v>665100</c:v>
                </c:pt>
                <c:pt idx="13">
                  <c:v>723657</c:v>
                </c:pt>
                <c:pt idx="14">
                  <c:v>786313</c:v>
                </c:pt>
                <c:pt idx="15">
                  <c:v>853355</c:v>
                </c:pt>
                <c:pt idx="16">
                  <c:v>925089</c:v>
                </c:pt>
                <c:pt idx="17">
                  <c:v>1001846</c:v>
                </c:pt>
                <c:pt idx="18">
                  <c:v>1083975</c:v>
                </c:pt>
                <c:pt idx="19">
                  <c:v>1171853</c:v>
                </c:pt>
                <c:pt idx="20">
                  <c:v>1265883</c:v>
                </c:pt>
                <c:pt idx="21">
                  <c:v>1366495</c:v>
                </c:pt>
                <c:pt idx="22">
                  <c:v>1474149</c:v>
                </c:pt>
                <c:pt idx="23">
                  <c:v>1589340</c:v>
                </c:pt>
                <c:pt idx="24">
                  <c:v>1712593</c:v>
                </c:pt>
                <c:pt idx="25">
                  <c:v>1844475</c:v>
                </c:pt>
                <c:pt idx="26">
                  <c:v>1985588</c:v>
                </c:pt>
                <c:pt idx="27">
                  <c:v>2136579</c:v>
                </c:pt>
                <c:pt idx="28">
                  <c:v>2298140</c:v>
                </c:pt>
                <c:pt idx="29">
                  <c:v>2471010</c:v>
                </c:pt>
                <c:pt idx="30">
                  <c:v>2655980</c:v>
                </c:pt>
              </c:numCache>
            </c:numRef>
          </c:val>
          <c:smooth val="1"/>
          <c:extLst>
            <c:ext xmlns:c16="http://schemas.microsoft.com/office/drawing/2014/chart" uri="{C3380CC4-5D6E-409C-BE32-E72D297353CC}">
              <c16:uniqueId val="{00000001-AE30-468E-A490-4EFF4ECD7AB3}"/>
            </c:ext>
          </c:extLst>
        </c:ser>
        <c:ser>
          <c:idx val="2"/>
          <c:order val="2"/>
          <c:tx>
            <c:v>1.50% Total Fees</c:v>
          </c:tx>
          <c:spPr>
            <a:ln w="21960">
              <a:solidFill>
                <a:srgbClr val="C00000"/>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'Fees — Silent Killer'!$H$29:$H$59</c:f>
              <c:numCache>
                <c:formatCode>General</c:formatCode>
                <c:ptCount val="31"/>
                <c:pt idx="0">
                  <c:v>0</c:v>
                </c:pt>
                <c:pt idx="1">
                  <c:v>1</c:v>
                </c:pt>
                <c:pt idx="2">
                  <c:v>2</c:v>
                </c:pt>
                <c:pt idx="3">
                  <c:v>3</c:v>
                </c:pt>
                <c:pt idx="4">
                  <c:v>4</c:v>
                </c:pt>
                <c:pt idx="5">
                  <c:v>5</c:v>
                </c:pt>
                <c:pt idx="6">
                  <c:v>6</c:v>
                </c:pt>
                <c:pt idx="7">
                  <c:v>7</c:v>
                </c:pt>
                <c:pt idx="8">
                  <c:v>8</c:v>
                </c:pt>
                <c:pt idx="9">
                  <c:v>9</c:v>
                </c:pt>
                <c:pt idx="10">
                  <c:v>10</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'Fees — Silent Killer'!$K$29:$K$59</c:f>
              <c:numCache>
                <c:formatCode>\$#,##0;"($"#,##0\);\-</c:formatCode>
                <c:ptCount val="31"/>
                <c:pt idx="0">
                  <c:v>200000</c:v>
                </c:pt>
                <c:pt idx="1">
                  <c:v>225000</c:v>
                </c:pt>
                <c:pt idx="2">
                  <c:v>251625</c:v>
                </c:pt>
                <c:pt idx="3">
                  <c:v>279981</c:v>
                </c:pt>
                <c:pt idx="4">
                  <c:v>310179</c:v>
                </c:pt>
                <c:pt idx="5">
                  <c:v>342341</c:v>
                </c:pt>
                <c:pt idx="6">
                  <c:v>376593</c:v>
                </c:pt>
                <c:pt idx="7">
                  <c:v>413072</c:v>
                </c:pt>
                <c:pt idx="8">
                  <c:v>451921</c:v>
                </c:pt>
                <c:pt idx="9">
                  <c:v>493296</c:v>
                </c:pt>
                <c:pt idx="10">
                  <c:v>537361</c:v>
                </c:pt>
                <c:pt idx="12">
                  <c:v>634268</c:v>
                </c:pt>
                <c:pt idx="13">
                  <c:v>687495</c:v>
                </c:pt>
                <c:pt idx="14">
                  <c:v>744182</c:v>
                </c:pt>
                <c:pt idx="15">
                  <c:v>804554</c:v>
                </c:pt>
                <c:pt idx="16">
                  <c:v>868850</c:v>
                </c:pt>
                <c:pt idx="17">
                  <c:v>937326</c:v>
                </c:pt>
                <c:pt idx="18">
                  <c:v>1010252</c:v>
                </c:pt>
                <c:pt idx="19">
                  <c:v>1087918</c:v>
                </c:pt>
                <c:pt idx="20">
                  <c:v>1170633</c:v>
                </c:pt>
                <c:pt idx="21">
                  <c:v>1258724</c:v>
                </c:pt>
                <c:pt idx="22">
                  <c:v>1352541</c:v>
                </c:pt>
                <c:pt idx="23">
                  <c:v>1452456</c:v>
                </c:pt>
                <c:pt idx="24">
                  <c:v>1558866</c:v>
                </c:pt>
                <c:pt idx="25">
                  <c:v>1672192</c:v>
                </c:pt>
                <c:pt idx="26">
                  <c:v>1792884</c:v>
                </c:pt>
                <c:pt idx="27">
                  <c:v>1921422</c:v>
                </c:pt>
                <c:pt idx="28">
                  <c:v>2058314</c:v>
                </c:pt>
                <c:pt idx="29">
                  <c:v>2204105</c:v>
                </c:pt>
                <c:pt idx="30">
                  <c:v>2359372</c:v>
                </c:pt>
              </c:numCache>
            </c:numRef>
          </c:val>
          <c:smooth val="1"/>
          <c:extLst>
            <c:ext xmlns:c16="http://schemas.microsoft.com/office/drawing/2014/chart" uri="{C3380CC4-5D6E-409C-BE32-E72D297353CC}">
              <c16:uniqueId val="{00000002-AE30-468E-A490-4EFF4ECD7AB3}"/>
            </c:ext>
          </c:extLst>
        </c:ser>
        <c:ser>
          <c:idx val="3"/>
          <c:order val="3"/>
          <c:tx>
            <c:v>2.00% Total Fees</c:v>
          </c:tx>
          <c:spPr>
            <a:ln w="21960">
              <a:solidFill>
                <a:srgbClr val="4A0000"/>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'Fees — Silent Killer'!$H$29:$H$59</c:f>
              <c:numCache>
                <c:formatCode>General</c:formatCode>
                <c:ptCount val="31"/>
                <c:pt idx="0">
                  <c:v>0</c:v>
                </c:pt>
                <c:pt idx="1">
                  <c:v>1</c:v>
                </c:pt>
                <c:pt idx="2">
                  <c:v>2</c:v>
                </c:pt>
                <c:pt idx="3">
                  <c:v>3</c:v>
                </c:pt>
                <c:pt idx="4">
                  <c:v>4</c:v>
                </c:pt>
                <c:pt idx="5">
                  <c:v>5</c:v>
                </c:pt>
                <c:pt idx="6">
                  <c:v>6</c:v>
                </c:pt>
                <c:pt idx="7">
                  <c:v>7</c:v>
                </c:pt>
                <c:pt idx="8">
                  <c:v>8</c:v>
                </c:pt>
                <c:pt idx="9">
                  <c:v>9</c:v>
                </c:pt>
                <c:pt idx="10">
                  <c:v>10</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'Fees — Silent Killer'!$L$29:$L$59</c:f>
              <c:numCache>
                <c:formatCode>\$#,##0;"($"#,##0\);\-</c:formatCode>
                <c:ptCount val="31"/>
                <c:pt idx="0">
                  <c:v>200000</c:v>
                </c:pt>
                <c:pt idx="1">
                  <c:v>224000</c:v>
                </c:pt>
                <c:pt idx="2">
                  <c:v>249440</c:v>
                </c:pt>
                <c:pt idx="3">
                  <c:v>276406</c:v>
                </c:pt>
                <c:pt idx="4">
                  <c:v>304991</c:v>
                </c:pt>
                <c:pt idx="5">
                  <c:v>335290</c:v>
                </c:pt>
                <c:pt idx="6">
                  <c:v>367408</c:v>
                </c:pt>
                <c:pt idx="7">
                  <c:v>401452</c:v>
                </c:pt>
                <c:pt idx="8">
                  <c:v>437539</c:v>
                </c:pt>
                <c:pt idx="9">
                  <c:v>475792</c:v>
                </c:pt>
                <c:pt idx="10">
                  <c:v>516339</c:v>
                </c:pt>
                <c:pt idx="12">
                  <c:v>604879</c:v>
                </c:pt>
                <c:pt idx="13">
                  <c:v>653171</c:v>
                </c:pt>
                <c:pt idx="14">
                  <c:v>704362</c:v>
                </c:pt>
                <c:pt idx="15">
                  <c:v>758623</c:v>
                </c:pt>
                <c:pt idx="16">
                  <c:v>816141</c:v>
                </c:pt>
                <c:pt idx="17">
                  <c:v>877109</c:v>
                </c:pt>
                <c:pt idx="18">
                  <c:v>941736</c:v>
                </c:pt>
                <c:pt idx="19">
                  <c:v>1010240</c:v>
                </c:pt>
                <c:pt idx="20">
                  <c:v>1082854</c:v>
                </c:pt>
                <c:pt idx="21">
                  <c:v>1159825</c:v>
                </c:pt>
                <c:pt idx="22">
                  <c:v>1241415</c:v>
                </c:pt>
                <c:pt idx="23">
                  <c:v>1327900</c:v>
                </c:pt>
                <c:pt idx="24">
                  <c:v>1419574</c:v>
                </c:pt>
                <c:pt idx="25">
                  <c:v>1516748</c:v>
                </c:pt>
                <c:pt idx="26">
                  <c:v>1619753</c:v>
                </c:pt>
                <c:pt idx="27">
                  <c:v>1728938</c:v>
                </c:pt>
                <c:pt idx="28">
                  <c:v>1844675</c:v>
                </c:pt>
                <c:pt idx="29">
                  <c:v>1967355</c:v>
                </c:pt>
                <c:pt idx="30">
                  <c:v>2097396</c:v>
                </c:pt>
              </c:numCache>
            </c:numRef>
          </c:val>
          <c:smooth val="1"/>
          <c:extLst>
            <c:ext xmlns:c16="http://schemas.microsoft.com/office/drawing/2014/chart" uri="{C3380CC4-5D6E-409C-BE32-E72D297353CC}">
              <c16:uniqueId val="{00000003-AE30-468E-A490-4EFF4ECD7AB3}"/>
            </c:ext>
          </c:extLst>
        </c:ser>
        <c:dLbls>
          <c:showLegendKey val="0"/>
          <c:showVal val="0"/>
          <c:showCatName val="0"/>
          <c:showSerName val="0"/>
          <c:showPercent val="0"/>
          <c:showBubbleSize val="0"/>
        </c:dLbls>
        <c:hiLowLines>
          <c:spPr>
            <a:ln w="0">
              <a:noFill/>
            </a:ln>
          </c:spPr>
        </c:hiLowLines>
        <c:smooth val="0"/>
        <c:axId val="47123914"/>
        <c:axId val="98147534"/>
      </c:lineChart>
      <c:catAx>
        <c:axId val="47123914"/>
        <c:scaling>
          <c:orientation val="minMax"/>
        </c:scaling>
        <c:delete val="0"/>
        <c:axPos val="b"/>
        <c:title>
          <c:tx>
            <c:rich>
              <a:bodyPr rot="0"/>
              <a:lstStyle/>
              <a:p>
                <a:pPr>
                  <a:defRPr lang="en-AU" sz="1000" b="1" strike="noStrike" spc="-1">
                    <a:solidFill>
                      <a:srgbClr val="000000"/>
                    </a:solidFill>
                    <a:latin typeface="Calibri"/>
                  </a:defRPr>
                </a:pPr>
                <a:r>
                  <a:rPr lang="en-AU" sz="1000" b="1" strike="noStrike" spc="-1">
                    <a:solidFill>
                      <a:srgbClr val="000000"/>
                    </a:solidFill>
                    <a:latin typeface="Calibri"/>
                  </a:rPr>
                  <a:t>Year</a:t>
                </a:r>
              </a:p>
            </c:rich>
          </c:tx>
          <c:overlay val="0"/>
          <c:spPr>
            <a:noFill/>
            <a:ln w="0">
              <a:noFill/>
            </a:ln>
          </c:spPr>
        </c:title>
        <c:numFmt formatCode="General"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98147534"/>
        <c:crosses val="autoZero"/>
        <c:auto val="1"/>
        <c:lblAlgn val="ctr"/>
        <c:lblOffset val="100"/>
        <c:noMultiLvlLbl val="0"/>
      </c:catAx>
      <c:valAx>
        <c:axId val="98147534"/>
        <c:scaling>
          <c:orientation val="minMax"/>
        </c:scaling>
        <c:delete val="0"/>
        <c:axPos val="l"/>
        <c:majorGridlines>
          <c:spPr>
            <a:ln w="0">
              <a:solidFill>
                <a:srgbClr val="B3B3B3"/>
              </a:solidFill>
            </a:ln>
          </c:spPr>
        </c:majorGridlines>
        <c:title>
          <c:tx>
            <c:rich>
              <a:bodyPr rot="-5400000"/>
              <a:lstStyle/>
              <a:p>
                <a:pPr>
                  <a:defRPr lang="en-AU" sz="1000" b="1" strike="noStrike" spc="-1">
                    <a:solidFill>
                      <a:srgbClr val="000000"/>
                    </a:solidFill>
                    <a:latin typeface="Calibri"/>
                  </a:defRPr>
                </a:pPr>
                <a:r>
                  <a:rPr lang="en-AU" sz="1000" b="1" strike="noStrike" spc="-1">
                    <a:solidFill>
                      <a:srgbClr val="000000"/>
                    </a:solidFill>
                    <a:latin typeface="Calibri"/>
                  </a:rPr>
                  <a:t>Balance ($)</a:t>
                </a:r>
              </a:p>
            </c:rich>
          </c:tx>
          <c:overlay val="0"/>
          <c:spPr>
            <a:noFill/>
            <a:ln w="0">
              <a:noFill/>
            </a:ln>
          </c:spPr>
        </c:title>
        <c:numFmt formatCode="\$#,##0;&quot;($&quot;#,##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47123914"/>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barChart>
        <c:barDir val="col"/>
        <c:grouping val="clustered"/>
        <c:varyColors val="0"/>
        <c:ser>
          <c:idx val="0"/>
          <c:order val="0"/>
          <c:tx>
            <c:v>7-Year Net Return</c:v>
          </c:tx>
          <c:spPr>
            <a:solidFill>
              <a:srgbClr val="00695C"/>
            </a:solidFill>
            <a:ln w="9360">
              <a:solidFill>
                <a:srgbClr val="00695C"/>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'Fund Performance &amp; Returns'!$N$32:$N$36</c:f>
              <c:strCache>
                <c:ptCount val="5"/>
                <c:pt idx="0">
                  <c:v>Conservative</c:v>
                </c:pt>
                <c:pt idx="1">
                  <c:v>Cons-Bal</c:v>
                </c:pt>
                <c:pt idx="2">
                  <c:v>Balanced</c:v>
                </c:pt>
                <c:pt idx="3">
                  <c:v>Growth</c:v>
                </c:pt>
                <c:pt idx="4">
                  <c:v>High-Growth</c:v>
                </c:pt>
              </c:strCache>
            </c:strRef>
          </c:cat>
          <c:val>
            <c:numRef>
              <c:f>'Fund Performance &amp; Returns'!$O$31:$O$36</c:f>
              <c:numCache>
                <c:formatCode>0.0%;\-0.0%;\-</c:formatCode>
                <c:ptCount val="6"/>
                <c:pt idx="1">
                  <c:v>3.7999999999999999E-2</c:v>
                </c:pt>
                <c:pt idx="2">
                  <c:v>5.1999999999999998E-2</c:v>
                </c:pt>
                <c:pt idx="3">
                  <c:v>7.4999999999999997E-2</c:v>
                </c:pt>
                <c:pt idx="4">
                  <c:v>8.5999999999999993E-2</c:v>
                </c:pt>
                <c:pt idx="5">
                  <c:v>9.5000000000000001E-2</c:v>
                </c:pt>
              </c:numCache>
            </c:numRef>
          </c:val>
          <c:extLst>
            <c:ext xmlns:c16="http://schemas.microsoft.com/office/drawing/2014/chart" uri="{C3380CC4-5D6E-409C-BE32-E72D297353CC}">
              <c16:uniqueId val="{00000000-544D-49A7-B22B-2203BF478391}"/>
            </c:ext>
          </c:extLst>
        </c:ser>
        <c:dLbls>
          <c:showLegendKey val="0"/>
          <c:showVal val="0"/>
          <c:showCatName val="0"/>
          <c:showSerName val="0"/>
          <c:showPercent val="0"/>
          <c:showBubbleSize val="0"/>
        </c:dLbls>
        <c:gapWidth val="150"/>
        <c:axId val="70973075"/>
        <c:axId val="19000234"/>
      </c:barChart>
      <c:catAx>
        <c:axId val="70973075"/>
        <c:scaling>
          <c:orientation val="minMax"/>
        </c:scaling>
        <c:delete val="0"/>
        <c:axPos val="b"/>
        <c:numFmt formatCode="General"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19000234"/>
        <c:crosses val="autoZero"/>
        <c:auto val="1"/>
        <c:lblAlgn val="ctr"/>
        <c:lblOffset val="100"/>
        <c:noMultiLvlLbl val="0"/>
      </c:catAx>
      <c:valAx>
        <c:axId val="19000234"/>
        <c:scaling>
          <c:orientation val="minMax"/>
        </c:scaling>
        <c:delete val="0"/>
        <c:axPos val="l"/>
        <c:majorGridlines>
          <c:spPr>
            <a:ln w="0">
              <a:solidFill>
                <a:srgbClr val="B3B3B3"/>
              </a:solidFill>
            </a:ln>
          </c:spPr>
        </c:majorGridlines>
        <c:title>
          <c:tx>
            <c:rich>
              <a:bodyPr rot="-5400000"/>
              <a:lstStyle/>
              <a:p>
                <a:pPr>
                  <a:defRPr sz="1000" b="1" strike="noStrike" spc="-1">
                    <a:solidFill>
                      <a:srgbClr val="000000"/>
                    </a:solidFill>
                    <a:latin typeface="Calibri"/>
                  </a:defRPr>
                </a:pPr>
                <a:r>
                  <a:rPr sz="1000" b="1" strike="noStrike" spc="-1">
                    <a:solidFill>
                      <a:srgbClr val="000000"/>
                    </a:solidFill>
                    <a:latin typeface="Calibri"/>
                  </a:rPr>
                  <a:t>7-Year Net Return (%)</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70973075"/>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barChart>
        <c:barDir val="col"/>
        <c:grouping val="clustered"/>
        <c:varyColors val="0"/>
        <c:ser>
          <c:idx val="0"/>
          <c:order val="0"/>
          <c:tx>
            <c:v>Women</c:v>
          </c:tx>
          <c:spPr>
            <a:solidFill>
              <a:srgbClr val="AD1457"/>
            </a:solidFill>
            <a:ln w="9360">
              <a:solidFill>
                <a:srgbClr val="AD1457"/>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'Gender Gap in Super'!$B$40:$B$43</c:f>
              <c:strCache>
                <c:ptCount val="4"/>
                <c:pt idx="0">
                  <c:v>25-34</c:v>
                </c:pt>
                <c:pt idx="1">
                  <c:v>35-44</c:v>
                </c:pt>
                <c:pt idx="2">
                  <c:v>45-54</c:v>
                </c:pt>
                <c:pt idx="3">
                  <c:v>55-64</c:v>
                </c:pt>
              </c:strCache>
            </c:strRef>
          </c:cat>
          <c:val>
            <c:numRef>
              <c:f>'Gender Gap in Super'!$C$39:$C$43</c:f>
              <c:numCache>
                <c:formatCode>\$#,##0;"($"#,##0\);\-</c:formatCode>
                <c:ptCount val="5"/>
                <c:pt idx="0" formatCode="0&quot; years&quot;">
                  <c:v>0</c:v>
                </c:pt>
                <c:pt idx="1">
                  <c:v>28000</c:v>
                </c:pt>
                <c:pt idx="2">
                  <c:v>52000</c:v>
                </c:pt>
                <c:pt idx="3">
                  <c:v>90000</c:v>
                </c:pt>
                <c:pt idx="4" formatCode="0.0%;\-0.0%;\-">
                  <c:v>134000</c:v>
                </c:pt>
              </c:numCache>
            </c:numRef>
          </c:val>
          <c:extLst>
            <c:ext xmlns:c16="http://schemas.microsoft.com/office/drawing/2014/chart" uri="{C3380CC4-5D6E-409C-BE32-E72D297353CC}">
              <c16:uniqueId val="{00000000-5C35-4B3F-B4DC-0C1196A22171}"/>
            </c:ext>
          </c:extLst>
        </c:ser>
        <c:ser>
          <c:idx val="1"/>
          <c:order val="1"/>
          <c:tx>
            <c:v>Men</c:v>
          </c:tx>
          <c:spPr>
            <a:solidFill>
              <a:srgbClr val="2E75B6"/>
            </a:solidFill>
            <a:ln w="9360">
              <a:solidFill>
                <a:srgbClr val="2E75B6"/>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'Gender Gap in Super'!$B$40:$B$43</c:f>
              <c:strCache>
                <c:ptCount val="4"/>
                <c:pt idx="0">
                  <c:v>25-34</c:v>
                </c:pt>
                <c:pt idx="1">
                  <c:v>35-44</c:v>
                </c:pt>
                <c:pt idx="2">
                  <c:v>45-54</c:v>
                </c:pt>
                <c:pt idx="3">
                  <c:v>55-64</c:v>
                </c:pt>
              </c:strCache>
            </c:strRef>
          </c:cat>
          <c:val>
            <c:numRef>
              <c:f>'Gender Gap in Super'!$D$39:$D$43</c:f>
              <c:numCache>
                <c:formatCode>\$#,##0;"($"#,##0\);\-</c:formatCode>
                <c:ptCount val="5"/>
                <c:pt idx="0" formatCode="0&quot; years&quot;">
                  <c:v>0</c:v>
                </c:pt>
                <c:pt idx="1">
                  <c:v>33000</c:v>
                </c:pt>
                <c:pt idx="2">
                  <c:v>75000</c:v>
                </c:pt>
                <c:pt idx="3">
                  <c:v>136000</c:v>
                </c:pt>
                <c:pt idx="4" formatCode="0.0%;\-0.0%;\-">
                  <c:v>194000</c:v>
                </c:pt>
              </c:numCache>
            </c:numRef>
          </c:val>
          <c:extLst>
            <c:ext xmlns:c16="http://schemas.microsoft.com/office/drawing/2014/chart" uri="{C3380CC4-5D6E-409C-BE32-E72D297353CC}">
              <c16:uniqueId val="{00000001-5C35-4B3F-B4DC-0C1196A22171}"/>
            </c:ext>
          </c:extLst>
        </c:ser>
        <c:dLbls>
          <c:showLegendKey val="0"/>
          <c:showVal val="0"/>
          <c:showCatName val="0"/>
          <c:showSerName val="0"/>
          <c:showPercent val="0"/>
          <c:showBubbleSize val="0"/>
        </c:dLbls>
        <c:gapWidth val="150"/>
        <c:axId val="53125276"/>
        <c:axId val="97435563"/>
      </c:barChart>
      <c:catAx>
        <c:axId val="53125276"/>
        <c:scaling>
          <c:orientation val="minMax"/>
        </c:scaling>
        <c:delete val="0"/>
        <c:axPos val="b"/>
        <c:title>
          <c:tx>
            <c:rich>
              <a:bodyPr rot="0"/>
              <a:lstStyle/>
              <a:p>
                <a:pPr>
                  <a:defRPr sz="1000" b="1" strike="noStrike" spc="-1">
                    <a:solidFill>
                      <a:srgbClr val="000000"/>
                    </a:solidFill>
                    <a:latin typeface="Calibri"/>
                  </a:defRPr>
                </a:pPr>
                <a:r>
                  <a:rPr sz="1000" b="1" strike="noStrike" spc="-1">
                    <a:solidFill>
                      <a:srgbClr val="000000"/>
                    </a:solidFill>
                    <a:latin typeface="Calibri"/>
                  </a:rPr>
                  <a:t>Age Band</a:t>
                </a:r>
              </a:p>
            </c:rich>
          </c:tx>
          <c:overlay val="0"/>
          <c:spPr>
            <a:noFill/>
            <a:ln w="0">
              <a:noFill/>
            </a:ln>
          </c:spPr>
        </c:title>
        <c:numFmt formatCode="General"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97435563"/>
        <c:crosses val="autoZero"/>
        <c:auto val="1"/>
        <c:lblAlgn val="ctr"/>
        <c:lblOffset val="100"/>
        <c:noMultiLvlLbl val="0"/>
      </c:catAx>
      <c:valAx>
        <c:axId val="97435563"/>
        <c:scaling>
          <c:orientation val="minMax"/>
        </c:scaling>
        <c:delete val="0"/>
        <c:axPos val="l"/>
        <c:majorGridlines>
          <c:spPr>
            <a:ln w="0">
              <a:solidFill>
                <a:srgbClr val="B3B3B3"/>
              </a:solidFill>
            </a:ln>
          </c:spPr>
        </c:majorGridlines>
        <c:title>
          <c:tx>
            <c:rich>
              <a:bodyPr rot="-5400000"/>
              <a:lstStyle/>
              <a:p>
                <a:pPr>
                  <a:defRPr sz="1000" b="1" strike="noStrike" spc="-1">
                    <a:solidFill>
                      <a:srgbClr val="000000"/>
                    </a:solidFill>
                    <a:latin typeface="Calibri"/>
                  </a:defRPr>
                </a:pPr>
                <a:r>
                  <a:rPr sz="1000" b="1" strike="noStrike" spc="-1">
                    <a:solidFill>
                      <a:srgbClr val="000000"/>
                    </a:solidFill>
                    <a:latin typeface="Calibri"/>
                  </a:rPr>
                  <a:t>Median Balance ($)</a:t>
                </a:r>
              </a:p>
            </c:rich>
          </c:tx>
          <c:overlay val="0"/>
          <c:spPr>
            <a:noFill/>
            <a:ln w="0">
              <a:noFill/>
            </a:ln>
          </c:spPr>
        </c:title>
        <c:numFmt formatCode="\$#,##0;&quot;($&quot;#,##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53125276"/>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barChart>
        <c:barDir val="col"/>
        <c:grouping val="clustered"/>
        <c:varyColors val="0"/>
        <c:ser>
          <c:idx val="0"/>
          <c:order val="0"/>
          <c:tx>
            <c:v>Tax Saving ($)</c:v>
          </c:tx>
          <c:spPr>
            <a:solidFill>
              <a:srgbClr val="1B5E20"/>
            </a:solidFill>
            <a:ln w="9360">
              <a:solidFill>
                <a:srgbClr val="1B5E20"/>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'FHSS Scheme'!$B$47:$B$51</c:f>
              <c:strCache>
                <c:ptCount val="5"/>
                <c:pt idx="0">
                  <c:v>≤$18,200</c:v>
                </c:pt>
                <c:pt idx="1">
                  <c:v>$18k-$45k</c:v>
                </c:pt>
                <c:pt idx="2">
                  <c:v>$45k-$135k</c:v>
                </c:pt>
                <c:pt idx="3">
                  <c:v>$135k-$190k</c:v>
                </c:pt>
                <c:pt idx="4">
                  <c:v>&gt;$190k</c:v>
                </c:pt>
              </c:strCache>
            </c:strRef>
          </c:cat>
          <c:val>
            <c:numRef>
              <c:f>'FHSS Scheme'!$C$46:$C$51</c:f>
              <c:numCache>
                <c:formatCode>General</c:formatCode>
                <c:ptCount val="6"/>
                <c:pt idx="0">
                  <c:v>0</c:v>
                </c:pt>
                <c:pt idx="1">
                  <c:v>1000</c:v>
                </c:pt>
                <c:pt idx="2">
                  <c:v>3000</c:v>
                </c:pt>
                <c:pt idx="3">
                  <c:v>9500</c:v>
                </c:pt>
                <c:pt idx="4">
                  <c:v>13000</c:v>
                </c:pt>
                <c:pt idx="5">
                  <c:v>16000</c:v>
                </c:pt>
              </c:numCache>
            </c:numRef>
          </c:val>
          <c:extLst>
            <c:ext xmlns:c16="http://schemas.microsoft.com/office/drawing/2014/chart" uri="{C3380CC4-5D6E-409C-BE32-E72D297353CC}">
              <c16:uniqueId val="{00000000-C73F-4B51-A110-727ED6222088}"/>
            </c:ext>
          </c:extLst>
        </c:ser>
        <c:ser>
          <c:idx val="1"/>
          <c:order val="1"/>
          <c:tx>
            <c:v>Net Deposit ($)</c:v>
          </c:tx>
          <c:spPr>
            <a:solidFill>
              <a:srgbClr val="0277BD"/>
            </a:solidFill>
            <a:ln w="9360">
              <a:solidFill>
                <a:srgbClr val="0277BD"/>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'FHSS Scheme'!$B$47:$B$51</c:f>
              <c:strCache>
                <c:ptCount val="5"/>
                <c:pt idx="0">
                  <c:v>≤$18,200</c:v>
                </c:pt>
                <c:pt idx="1">
                  <c:v>$18k-$45k</c:v>
                </c:pt>
                <c:pt idx="2">
                  <c:v>$45k-$135k</c:v>
                </c:pt>
                <c:pt idx="3">
                  <c:v>$135k-$190k</c:v>
                </c:pt>
                <c:pt idx="4">
                  <c:v>&gt;$190k</c:v>
                </c:pt>
              </c:strCache>
            </c:strRef>
          </c:cat>
          <c:val>
            <c:numRef>
              <c:f>'FHSS Scheme'!$D$46:$D$51</c:f>
              <c:numCache>
                <c:formatCode>General</c:formatCode>
                <c:ptCount val="6"/>
                <c:pt idx="0">
                  <c:v>0</c:v>
                </c:pt>
                <c:pt idx="1">
                  <c:v>50000</c:v>
                </c:pt>
                <c:pt idx="2">
                  <c:v>50000</c:v>
                </c:pt>
                <c:pt idx="3">
                  <c:v>48000</c:v>
                </c:pt>
                <c:pt idx="4">
                  <c:v>44500</c:v>
                </c:pt>
                <c:pt idx="5">
                  <c:v>41500</c:v>
                </c:pt>
              </c:numCache>
            </c:numRef>
          </c:val>
          <c:extLst>
            <c:ext xmlns:c16="http://schemas.microsoft.com/office/drawing/2014/chart" uri="{C3380CC4-5D6E-409C-BE32-E72D297353CC}">
              <c16:uniqueId val="{00000001-C73F-4B51-A110-727ED6222088}"/>
            </c:ext>
          </c:extLst>
        </c:ser>
        <c:dLbls>
          <c:showLegendKey val="0"/>
          <c:showVal val="0"/>
          <c:showCatName val="0"/>
          <c:showSerName val="0"/>
          <c:showPercent val="0"/>
          <c:showBubbleSize val="0"/>
        </c:dLbls>
        <c:gapWidth val="150"/>
        <c:axId val="90387305"/>
        <c:axId val="99745990"/>
      </c:barChart>
      <c:catAx>
        <c:axId val="90387305"/>
        <c:scaling>
          <c:orientation val="minMax"/>
        </c:scaling>
        <c:delete val="0"/>
        <c:axPos val="b"/>
        <c:title>
          <c:tx>
            <c:rich>
              <a:bodyPr rot="0"/>
              <a:lstStyle/>
              <a:p>
                <a:pPr>
                  <a:defRPr sz="1000" b="1" strike="noStrike" spc="-1">
                    <a:solidFill>
                      <a:srgbClr val="000000"/>
                    </a:solidFill>
                    <a:latin typeface="Calibri"/>
                  </a:defRPr>
                </a:pPr>
                <a:r>
                  <a:rPr sz="1000" b="1" strike="noStrike" spc="-1">
                    <a:solidFill>
                      <a:srgbClr val="000000"/>
                    </a:solidFill>
                    <a:latin typeface="Calibri"/>
                  </a:rPr>
                  <a:t>Income Bracket</a:t>
                </a:r>
              </a:p>
            </c:rich>
          </c:tx>
          <c:overlay val="0"/>
          <c:spPr>
            <a:noFill/>
            <a:ln w="0">
              <a:noFill/>
            </a:ln>
          </c:spPr>
        </c:title>
        <c:numFmt formatCode="General"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99745990"/>
        <c:crosses val="autoZero"/>
        <c:auto val="1"/>
        <c:lblAlgn val="ctr"/>
        <c:lblOffset val="100"/>
        <c:noMultiLvlLbl val="0"/>
      </c:catAx>
      <c:valAx>
        <c:axId val="99745990"/>
        <c:scaling>
          <c:orientation val="minMax"/>
        </c:scaling>
        <c:delete val="0"/>
        <c:axPos val="l"/>
        <c:majorGridlines>
          <c:spPr>
            <a:ln w="0">
              <a:solidFill>
                <a:srgbClr val="B3B3B3"/>
              </a:solidFill>
            </a:ln>
          </c:spPr>
        </c:majorGridlines>
        <c:title>
          <c:tx>
            <c:rich>
              <a:bodyPr rot="-5400000"/>
              <a:lstStyle/>
              <a:p>
                <a:pPr>
                  <a:defRPr sz="1000" b="1" strike="noStrike" spc="-1">
                    <a:solidFill>
                      <a:srgbClr val="000000"/>
                    </a:solidFill>
                    <a:latin typeface="Calibri"/>
                  </a:defRPr>
                </a:pPr>
                <a:r>
                  <a:rPr sz="1000" b="1" strike="noStrike" spc="-1">
                    <a:solidFill>
                      <a:srgbClr val="000000"/>
                    </a:solidFill>
                    <a:latin typeface="Calibri"/>
                  </a:rPr>
                  <a:t>Amount ($)</a:t>
                </a:r>
              </a:p>
            </c:rich>
          </c:tx>
          <c:overlay val="0"/>
          <c:spPr>
            <a:noFill/>
            <a:ln w="0">
              <a:noFill/>
            </a:ln>
          </c:spPr>
        </c:title>
        <c:numFmt formatCode="\$#,##0;&quot;($&quot;#,##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90387305"/>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barChart>
        <c:barDir val="col"/>
        <c:grouping val="stacked"/>
        <c:varyColors val="0"/>
        <c:ser>
          <c:idx val="0"/>
          <c:order val="0"/>
          <c:tx>
            <c:strRef>
              <c:f>ChartData!$E$1</c:f>
              <c:strCache>
                <c:ptCount val="1"/>
                <c:pt idx="0">
                  <c:v>SGC</c:v>
                </c:pt>
              </c:strCache>
            </c:strRef>
          </c:tx>
          <c:spPr>
            <a:solidFill>
              <a:srgbClr val="1F3864"/>
            </a:solidFill>
            <a:ln w="9360">
              <a:solidFill>
                <a:srgbClr val="1F3864"/>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ChartData!$A$2:$A$31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ChartData!$E$2:$E$31</c:f>
              <c:numCache>
                <c:formatCode>\$#,##0;"($"#,##0\);\-</c:formatCode>
                <c:ptCount val="30"/>
                <c:pt idx="0">
                  <c:v>10925</c:v>
                </c:pt>
                <c:pt idx="1">
                  <c:v>11798.999999999998</c:v>
                </c:pt>
                <c:pt idx="2">
                  <c:v>12211.964999999997</c:v>
                </c:pt>
                <c:pt idx="3">
                  <c:v>12639.383774999995</c:v>
                </c:pt>
                <c:pt idx="4">
                  <c:v>13081.762207124993</c:v>
                </c:pt>
                <c:pt idx="5">
                  <c:v>13539.623884374367</c:v>
                </c:pt>
                <c:pt idx="6">
                  <c:v>14013.510720327469</c:v>
                </c:pt>
                <c:pt idx="7">
                  <c:v>14503.983595538928</c:v>
                </c:pt>
                <c:pt idx="8">
                  <c:v>15011.623021382789</c:v>
                </c:pt>
                <c:pt idx="9">
                  <c:v>15537.029827131186</c:v>
                </c:pt>
                <c:pt idx="10">
                  <c:v>16080.825871080775</c:v>
                </c:pt>
                <c:pt idx="11">
                  <c:v>16643.654776568601</c:v>
                </c:pt>
                <c:pt idx="12">
                  <c:v>17226.182693748498</c:v>
                </c:pt>
                <c:pt idx="13">
                  <c:v>17829.099088029696</c:v>
                </c:pt>
                <c:pt idx="14">
                  <c:v>18453.117556110734</c:v>
                </c:pt>
                <c:pt idx="15">
                  <c:v>19098.976670574608</c:v>
                </c:pt>
                <c:pt idx="16">
                  <c:v>19767.440854044715</c:v>
                </c:pt>
                <c:pt idx="17">
                  <c:v>20459.301283936278</c:v>
                </c:pt>
                <c:pt idx="18">
                  <c:v>21175.37682887405</c:v>
                </c:pt>
                <c:pt idx="19">
                  <c:v>21916.515017884638</c:v>
                </c:pt>
                <c:pt idx="20">
                  <c:v>22683.593043510595</c:v>
                </c:pt>
                <c:pt idx="21">
                  <c:v>23477.518800033467</c:v>
                </c:pt>
                <c:pt idx="22">
                  <c:v>24299.231958034638</c:v>
                </c:pt>
                <c:pt idx="23">
                  <c:v>25149.705076565846</c:v>
                </c:pt>
                <c:pt idx="24">
                  <c:v>26029.944754245647</c:v>
                </c:pt>
                <c:pt idx="25">
                  <c:v>26940.992820644246</c:v>
                </c:pt>
                <c:pt idx="26">
                  <c:v>27883.927569366788</c:v>
                </c:pt>
                <c:pt idx="27">
                  <c:v>28859.865034294624</c:v>
                </c:pt>
                <c:pt idx="28">
                  <c:v>29869.960310494935</c:v>
                </c:pt>
                <c:pt idx="29">
                  <c:v>30915.408921362257</c:v>
                </c:pt>
              </c:numCache>
            </c:numRef>
          </c:val>
          <c:extLst>
            <c:ext xmlns:c16="http://schemas.microsoft.com/office/drawing/2014/chart" uri="{C3380CC4-5D6E-409C-BE32-E72D297353CC}">
              <c16:uniqueId val="{00000000-D5C3-4433-9DE0-442796C3B44A}"/>
            </c:ext>
          </c:extLst>
        </c:ser>
        <c:ser>
          <c:idx val="1"/>
          <c:order val="1"/>
          <c:tx>
            <c:strRef>
              <c:f>ChartData!$F$1</c:f>
              <c:strCache>
                <c:ptCount val="1"/>
                <c:pt idx="0">
                  <c:v>Salary Sacrifice</c:v>
                </c:pt>
              </c:strCache>
            </c:strRef>
          </c:tx>
          <c:spPr>
            <a:solidFill>
              <a:srgbClr val="2E75B6"/>
            </a:solidFill>
            <a:ln w="9360">
              <a:solidFill>
                <a:srgbClr val="2E75B6"/>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ChartData!$A$2:$A$31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ChartData!$F$2:$F$31</c:f>
              <c:numCache>
                <c:formatCode>\$#,##0;"($"#,##0\);\-</c:formatCode>
                <c:ptCount val="30"/>
                <c:pt idx="0">
                  <c:v>5000</c:v>
                </c:pt>
                <c:pt idx="1">
                  <c:v>5125</c:v>
                </c:pt>
                <c:pt idx="2">
                  <c:v>5253.1249999999991</c:v>
                </c:pt>
                <c:pt idx="3">
                  <c:v>5384.4531249999982</c:v>
                </c:pt>
                <c:pt idx="4">
                  <c:v>5519.0644531249973</c:v>
                </c:pt>
                <c:pt idx="5">
                  <c:v>5657.0410644531221</c:v>
                </c:pt>
                <c:pt idx="6">
                  <c:v>5798.46709106445</c:v>
                </c:pt>
                <c:pt idx="7">
                  <c:v>5943.4287683410603</c:v>
                </c:pt>
                <c:pt idx="8">
                  <c:v>6092.0144875495862</c:v>
                </c:pt>
                <c:pt idx="9">
                  <c:v>6244.3148497383254</c:v>
                </c:pt>
                <c:pt idx="10">
                  <c:v>6400.4227209817827</c:v>
                </c:pt>
                <c:pt idx="11">
                  <c:v>6560.433289006327</c:v>
                </c:pt>
                <c:pt idx="12">
                  <c:v>6724.4441212314841</c:v>
                </c:pt>
                <c:pt idx="13">
                  <c:v>6892.5552242622707</c:v>
                </c:pt>
                <c:pt idx="14">
                  <c:v>7064.869104868827</c:v>
                </c:pt>
                <c:pt idx="15">
                  <c:v>7241.4908324905473</c:v>
                </c:pt>
                <c:pt idx="16">
                  <c:v>7422.5281033028105</c:v>
                </c:pt>
                <c:pt idx="17">
                  <c:v>7608.0913058853803</c:v>
                </c:pt>
                <c:pt idx="18">
                  <c:v>7798.2935885325141</c:v>
                </c:pt>
                <c:pt idx="19">
                  <c:v>7993.2509282458259</c:v>
                </c:pt>
                <c:pt idx="20">
                  <c:v>8193.0822014519708</c:v>
                </c:pt>
                <c:pt idx="21">
                  <c:v>8397.9092564882685</c:v>
                </c:pt>
                <c:pt idx="22">
                  <c:v>8607.8569879004754</c:v>
                </c:pt>
                <c:pt idx="23">
                  <c:v>8823.0534125979866</c:v>
                </c:pt>
                <c:pt idx="24">
                  <c:v>9043.6297479129353</c:v>
                </c:pt>
                <c:pt idx="25">
                  <c:v>9269.7204916107585</c:v>
                </c:pt>
                <c:pt idx="26">
                  <c:v>9501.4635039010263</c:v>
                </c:pt>
                <c:pt idx="27">
                  <c:v>9739.0000914985503</c:v>
                </c:pt>
                <c:pt idx="28">
                  <c:v>9982.4750937860135</c:v>
                </c:pt>
                <c:pt idx="29">
                  <c:v>10232.036971130663</c:v>
                </c:pt>
              </c:numCache>
            </c:numRef>
          </c:val>
          <c:extLst>
            <c:ext xmlns:c16="http://schemas.microsoft.com/office/drawing/2014/chart" uri="{C3380CC4-5D6E-409C-BE32-E72D297353CC}">
              <c16:uniqueId val="{00000001-D5C3-4433-9DE0-442796C3B44A}"/>
            </c:ext>
          </c:extLst>
        </c:ser>
        <c:ser>
          <c:idx val="2"/>
          <c:order val="2"/>
          <c:tx>
            <c:strRef>
              <c:f>ChartData!$G$1</c:f>
              <c:strCache>
                <c:ptCount val="1"/>
                <c:pt idx="0">
                  <c:v>After-Tax Contribs</c:v>
                </c:pt>
              </c:strCache>
            </c:strRef>
          </c:tx>
          <c:spPr>
            <a:solidFill>
              <a:srgbClr val="70AD47"/>
            </a:solidFill>
            <a:ln w="9360">
              <a:solidFill>
                <a:srgbClr val="70AD47"/>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ChartData!$A$2:$A$31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ChartData!$G$2:$G$31</c:f>
              <c:numCache>
                <c:formatCode>\$#,##0;"($"#,##0\);\-</c:formatCode>
                <c:ptCount val="30"/>
                <c:pt idx="0">
                  <c:v>2000</c:v>
                </c:pt>
                <c:pt idx="1">
                  <c:v>2050</c:v>
                </c:pt>
                <c:pt idx="2">
                  <c:v>2101.25</c:v>
                </c:pt>
                <c:pt idx="3">
                  <c:v>2153.78125</c:v>
                </c:pt>
                <c:pt idx="4">
                  <c:v>2207.6257812499998</c:v>
                </c:pt>
                <c:pt idx="5">
                  <c:v>2262.8164257812496</c:v>
                </c:pt>
                <c:pt idx="6">
                  <c:v>2319.3868364257805</c:v>
                </c:pt>
                <c:pt idx="7">
                  <c:v>2377.3715073364247</c:v>
                </c:pt>
                <c:pt idx="8">
                  <c:v>2436.8057950198349</c:v>
                </c:pt>
                <c:pt idx="9">
                  <c:v>2497.7259398953306</c:v>
                </c:pt>
                <c:pt idx="10">
                  <c:v>2560.1690883927135</c:v>
                </c:pt>
                <c:pt idx="11">
                  <c:v>2624.1733156025311</c:v>
                </c:pt>
                <c:pt idx="12">
                  <c:v>2689.7776484925944</c:v>
                </c:pt>
                <c:pt idx="13">
                  <c:v>2757.0220897049089</c:v>
                </c:pt>
                <c:pt idx="14">
                  <c:v>2825.9476419475313</c:v>
                </c:pt>
                <c:pt idx="15">
                  <c:v>2896.5963329962192</c:v>
                </c:pt>
                <c:pt idx="16">
                  <c:v>2969.0112413211245</c:v>
                </c:pt>
                <c:pt idx="17">
                  <c:v>3043.2365223541524</c:v>
                </c:pt>
                <c:pt idx="18">
                  <c:v>3119.317435413006</c:v>
                </c:pt>
                <c:pt idx="19">
                  <c:v>3197.3003712983309</c:v>
                </c:pt>
                <c:pt idx="20">
                  <c:v>3277.2328805807888</c:v>
                </c:pt>
                <c:pt idx="21">
                  <c:v>3359.1637025953082</c:v>
                </c:pt>
                <c:pt idx="22">
                  <c:v>3443.1427951601904</c:v>
                </c:pt>
                <c:pt idx="23">
                  <c:v>3529.221365039195</c:v>
                </c:pt>
                <c:pt idx="24">
                  <c:v>3617.4518991651744</c:v>
                </c:pt>
                <c:pt idx="25">
                  <c:v>3707.8881966443032</c:v>
                </c:pt>
                <c:pt idx="26">
                  <c:v>3800.5854015604104</c:v>
                </c:pt>
                <c:pt idx="27">
                  <c:v>3895.6000365994205</c:v>
                </c:pt>
                <c:pt idx="28">
                  <c:v>3992.9900375144057</c:v>
                </c:pt>
                <c:pt idx="29">
                  <c:v>4092.8147884522655</c:v>
                </c:pt>
              </c:numCache>
            </c:numRef>
          </c:val>
          <c:extLst>
            <c:ext xmlns:c16="http://schemas.microsoft.com/office/drawing/2014/chart" uri="{C3380CC4-5D6E-409C-BE32-E72D297353CC}">
              <c16:uniqueId val="{00000002-D5C3-4433-9DE0-442796C3B44A}"/>
            </c:ext>
          </c:extLst>
        </c:ser>
        <c:dLbls>
          <c:showLegendKey val="0"/>
          <c:showVal val="0"/>
          <c:showCatName val="0"/>
          <c:showSerName val="0"/>
          <c:showPercent val="0"/>
          <c:showBubbleSize val="0"/>
        </c:dLbls>
        <c:gapWidth val="150"/>
        <c:overlap val="100"/>
        <c:axId val="6995401"/>
        <c:axId val="15752971"/>
      </c:barChart>
      <c:catAx>
        <c:axId val="6995401"/>
        <c:scaling>
          <c:orientation val="minMax"/>
        </c:scaling>
        <c:delete val="0"/>
        <c:axPos val="b"/>
        <c:title>
          <c:tx>
            <c:rich>
              <a:bodyPr rot="0"/>
              <a:lstStyle/>
              <a:p>
                <a:pPr>
                  <a:defRPr lang="en-AU" sz="1000" b="1" strike="noStrike" spc="-1">
                    <a:solidFill>
                      <a:srgbClr val="000000"/>
                    </a:solidFill>
                    <a:latin typeface="Calibri"/>
                  </a:defRPr>
                </a:pPr>
                <a:r>
                  <a:rPr lang="en-AU" sz="1000" b="1" strike="noStrike" spc="-1">
                    <a:solidFill>
                      <a:srgbClr val="000000"/>
                    </a:solidFill>
                    <a:latin typeface="Calibri"/>
                  </a:rPr>
                  <a:t>Year</a:t>
                </a:r>
              </a:p>
            </c:rich>
          </c:tx>
          <c:overlay val="0"/>
          <c:spPr>
            <a:noFill/>
            <a:ln w="0">
              <a:noFill/>
            </a:ln>
          </c:spPr>
        </c:title>
        <c:numFmt formatCode="General"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15752971"/>
        <c:crosses val="autoZero"/>
        <c:auto val="1"/>
        <c:lblAlgn val="ctr"/>
        <c:lblOffset val="100"/>
        <c:noMultiLvlLbl val="0"/>
      </c:catAx>
      <c:valAx>
        <c:axId val="15752971"/>
        <c:scaling>
          <c:orientation val="minMax"/>
        </c:scaling>
        <c:delete val="0"/>
        <c:axPos val="l"/>
        <c:majorGridlines>
          <c:spPr>
            <a:ln w="0">
              <a:solidFill>
                <a:srgbClr val="B3B3B3"/>
              </a:solidFill>
            </a:ln>
          </c:spPr>
        </c:majorGridlines>
        <c:title>
          <c:tx>
            <c:rich>
              <a:bodyPr rot="-5400000"/>
              <a:lstStyle/>
              <a:p>
                <a:pPr>
                  <a:defRPr lang="en-AU" sz="1000" b="1" strike="noStrike" spc="-1">
                    <a:solidFill>
                      <a:srgbClr val="000000"/>
                    </a:solidFill>
                    <a:latin typeface="Calibri"/>
                  </a:defRPr>
                </a:pPr>
                <a:r>
                  <a:rPr lang="en-AU" sz="1000" b="1" strike="noStrike" spc="-1">
                    <a:solidFill>
                      <a:srgbClr val="000000"/>
                    </a:solidFill>
                    <a:latin typeface="Calibri"/>
                  </a:rPr>
                  <a:t>Annual Contributions ($)</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6995401"/>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barChart>
        <c:barDir val="col"/>
        <c:grouping val="clustered"/>
        <c:varyColors val="0"/>
        <c:ser>
          <c:idx val="0"/>
          <c:order val="0"/>
          <c:tx>
            <c:strRef>
              <c:f>ChartData!$I$1</c:f>
              <c:strCache>
                <c:ptCount val="1"/>
                <c:pt idx="0">
                  <c:v>Gross Earnings</c:v>
                </c:pt>
              </c:strCache>
            </c:strRef>
          </c:tx>
          <c:spPr>
            <a:solidFill>
              <a:srgbClr val="70AD47"/>
            </a:solidFill>
            <a:ln w="9360">
              <a:solidFill>
                <a:srgbClr val="70AD47"/>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ChartData!$A$2:$A$31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ChartData!$I$2:$I$31</c:f>
              <c:numCache>
                <c:formatCode>\$#,##0;"($"#,##0\);\-</c:formatCode>
                <c:ptCount val="30"/>
                <c:pt idx="0">
                  <c:v>8172.1875</c:v>
                </c:pt>
                <c:pt idx="1">
                  <c:v>9771.2514843749996</c:v>
                </c:pt>
                <c:pt idx="2">
                  <c:v>11510.148381855468</c:v>
                </c:pt>
                <c:pt idx="3">
                  <c:v>13385.559794841693</c:v>
                </c:pt>
                <c:pt idx="4">
                  <c:v>15406.483502652629</c:v>
                </c:pt>
                <c:pt idx="5">
                  <c:v>17582.471056680759</c:v>
                </c:pt>
                <c:pt idx="6">
                  <c:v>19923.660769827165</c:v>
                </c:pt>
                <c:pt idx="7">
                  <c:v>22440.812637969681</c:v>
                </c:pt>
                <c:pt idx="8">
                  <c:v>25145.345305552441</c:v>
                </c:pt>
                <c:pt idx="9">
                  <c:v>28049.375193853051</c:v>
                </c:pt>
                <c:pt idx="10">
                  <c:v>31165.757917323634</c:v>
                </c:pt>
                <c:pt idx="11">
                  <c:v>34508.132120635208</c:v>
                </c:pt>
                <c:pt idx="12">
                  <c:v>38090.965876704329</c:v>
                </c:pt>
                <c:pt idx="13">
                  <c:v>41929.605794070121</c:v>
                </c:pt>
                <c:pt idx="14">
                  <c:v>46040.328990544011</c:v>
                </c:pt>
                <c:pt idx="15">
                  <c:v>50440.398099100988</c:v>
                </c:pt>
                <c:pt idx="16">
                  <c:v>55148.119481546855</c:v>
                </c:pt>
                <c:pt idx="17">
                  <c:v>60182.904835612753</c:v>
                </c:pt>
                <c:pt idx="18">
                  <c:v>65565.336391825069</c:v>
                </c:pt>
                <c:pt idx="19">
                  <c:v>71317.235907811846</c:v>
                </c:pt>
                <c:pt idx="20">
                  <c:v>77461.737679668862</c:v>
                </c:pt>
                <c:pt idx="21">
                  <c:v>84023.365802658649</c:v>
                </c:pt>
                <c:pt idx="22">
                  <c:v>91028.115926892569</c:v>
                </c:pt>
                <c:pt idx="23">
                  <c:v>98503.541767790972</c:v>
                </c:pt>
                <c:pt idx="24">
                  <c:v>106478.84664607512</c:v>
                </c:pt>
                <c:pt idx="25">
                  <c:v>114984.98034786092</c:v>
                </c:pt>
                <c:pt idx="26">
                  <c:v>124054.74161215122</c:v>
                </c:pt>
                <c:pt idx="27">
                  <c:v>133722.8865707092</c:v>
                </c:pt>
                <c:pt idx="28">
                  <c:v>144026.2434839982</c:v>
                </c:pt>
                <c:pt idx="29">
                  <c:v>155003.83413664941</c:v>
                </c:pt>
              </c:numCache>
            </c:numRef>
          </c:val>
          <c:extLst>
            <c:ext xmlns:c16="http://schemas.microsoft.com/office/drawing/2014/chart" uri="{C3380CC4-5D6E-409C-BE32-E72D297353CC}">
              <c16:uniqueId val="{00000000-83E5-4706-A2A9-81C296BEE810}"/>
            </c:ext>
          </c:extLst>
        </c:ser>
        <c:ser>
          <c:idx val="1"/>
          <c:order val="1"/>
          <c:tx>
            <c:strRef>
              <c:f>ChartData!$J$1</c:f>
              <c:strCache>
                <c:ptCount val="1"/>
                <c:pt idx="0">
                  <c:v>Contrib Tax</c:v>
                </c:pt>
              </c:strCache>
            </c:strRef>
          </c:tx>
          <c:spPr>
            <a:solidFill>
              <a:srgbClr val="FF0000"/>
            </a:solidFill>
            <a:ln w="9360">
              <a:solidFill>
                <a:srgbClr val="FF0000"/>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ChartData!$A$2:$A$31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ChartData!$J$2:$J$31</c:f>
              <c:numCache>
                <c:formatCode>\$#,##0;"($"#,##0\);\-</c:formatCode>
                <c:ptCount val="30"/>
                <c:pt idx="0">
                  <c:v>2388.75</c:v>
                </c:pt>
                <c:pt idx="1">
                  <c:v>2538.6</c:v>
                </c:pt>
                <c:pt idx="2">
                  <c:v>2619.7634999999996</c:v>
                </c:pt>
                <c:pt idx="3">
                  <c:v>2703.575534999999</c:v>
                </c:pt>
                <c:pt idx="4">
                  <c:v>2790.1239990374984</c:v>
                </c:pt>
                <c:pt idx="5">
                  <c:v>2879.4997423241234</c:v>
                </c:pt>
                <c:pt idx="6">
                  <c:v>2971.7966717087879</c:v>
                </c:pt>
                <c:pt idx="7">
                  <c:v>3067.1118545819977</c:v>
                </c:pt>
                <c:pt idx="8">
                  <c:v>3165.5456263398564</c:v>
                </c:pt>
                <c:pt idx="9">
                  <c:v>3267.2017015304264</c:v>
                </c:pt>
                <c:pt idx="10">
                  <c:v>3372.1872888093835</c:v>
                </c:pt>
                <c:pt idx="11">
                  <c:v>3480.6132098362391</c:v>
                </c:pt>
                <c:pt idx="12">
                  <c:v>3592.5940222469976</c:v>
                </c:pt>
                <c:pt idx="13">
                  <c:v>3708.248146843795</c:v>
                </c:pt>
                <c:pt idx="14">
                  <c:v>3827.6979991469339</c:v>
                </c:pt>
                <c:pt idx="15">
                  <c:v>3951.0701254597734</c:v>
                </c:pt>
                <c:pt idx="16">
                  <c:v>4078.4953436021287</c:v>
                </c:pt>
                <c:pt idx="17">
                  <c:v>4210.108888473249</c:v>
                </c:pt>
                <c:pt idx="18">
                  <c:v>4346.0505626109843</c:v>
                </c:pt>
                <c:pt idx="19">
                  <c:v>4486.4648919195697</c:v>
                </c:pt>
                <c:pt idx="20">
                  <c:v>4631.5012867443847</c:v>
                </c:pt>
                <c:pt idx="21">
                  <c:v>4781.3142084782603</c:v>
                </c:pt>
                <c:pt idx="22">
                  <c:v>4936.0633418902671</c:v>
                </c:pt>
                <c:pt idx="23">
                  <c:v>5095.9137733745747</c:v>
                </c:pt>
                <c:pt idx="24">
                  <c:v>5261.0361753237876</c:v>
                </c:pt>
                <c:pt idx="25">
                  <c:v>5431.6069968382499</c:v>
                </c:pt>
                <c:pt idx="26">
                  <c:v>5607.808660990172</c:v>
                </c:pt>
                <c:pt idx="27">
                  <c:v>5789.8297688689763</c:v>
                </c:pt>
                <c:pt idx="28">
                  <c:v>5977.8653106421425</c:v>
                </c:pt>
                <c:pt idx="29">
                  <c:v>6172.1168838739377</c:v>
                </c:pt>
              </c:numCache>
            </c:numRef>
          </c:val>
          <c:extLst>
            <c:ext xmlns:c16="http://schemas.microsoft.com/office/drawing/2014/chart" uri="{C3380CC4-5D6E-409C-BE32-E72D297353CC}">
              <c16:uniqueId val="{00000001-83E5-4706-A2A9-81C296BEE810}"/>
            </c:ext>
          </c:extLst>
        </c:ser>
        <c:ser>
          <c:idx val="2"/>
          <c:order val="2"/>
          <c:tx>
            <c:strRef>
              <c:f>ChartData!$K$1</c:f>
              <c:strCache>
                <c:ptCount val="1"/>
                <c:pt idx="0">
                  <c:v>Earnings Tax</c:v>
                </c:pt>
              </c:strCache>
            </c:strRef>
          </c:tx>
          <c:spPr>
            <a:solidFill>
              <a:srgbClr val="FFC000"/>
            </a:solidFill>
            <a:ln w="9360">
              <a:solidFill>
                <a:srgbClr val="FFC000"/>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ChartData!$A$2:$A$31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ChartData!$K$2:$K$31</c:f>
              <c:numCache>
                <c:formatCode>\$#,##0;"($"#,##0\);\-</c:formatCode>
                <c:ptCount val="30"/>
                <c:pt idx="0">
                  <c:v>1225.828125</c:v>
                </c:pt>
                <c:pt idx="1">
                  <c:v>1465.6877226562499</c:v>
                </c:pt>
                <c:pt idx="2">
                  <c:v>1726.5222572783202</c:v>
                </c:pt>
                <c:pt idx="3">
                  <c:v>2007.8339692262539</c:v>
                </c:pt>
                <c:pt idx="4">
                  <c:v>2310.9725253978941</c:v>
                </c:pt>
                <c:pt idx="5">
                  <c:v>2637.3706585021137</c:v>
                </c:pt>
                <c:pt idx="6">
                  <c:v>2988.5491154740748</c:v>
                </c:pt>
                <c:pt idx="7">
                  <c:v>3366.1218956954522</c:v>
                </c:pt>
                <c:pt idx="8">
                  <c:v>3771.801795832866</c:v>
                </c:pt>
                <c:pt idx="9">
                  <c:v>4207.4062790779572</c:v>
                </c:pt>
                <c:pt idx="10">
                  <c:v>4674.8636875985449</c:v>
                </c:pt>
                <c:pt idx="11">
                  <c:v>5176.219818095281</c:v>
                </c:pt>
                <c:pt idx="12">
                  <c:v>5713.6448815056492</c:v>
                </c:pt>
                <c:pt idx="13">
                  <c:v>6289.4408691105182</c:v>
                </c:pt>
                <c:pt idx="14">
                  <c:v>6906.0493485816014</c:v>
                </c:pt>
                <c:pt idx="15">
                  <c:v>7566.0597148651477</c:v>
                </c:pt>
                <c:pt idx="16">
                  <c:v>8272.2179222320283</c:v>
                </c:pt>
                <c:pt idx="17">
                  <c:v>9027.435725341913</c:v>
                </c:pt>
                <c:pt idx="18">
                  <c:v>9834.8004587737596</c:v>
                </c:pt>
                <c:pt idx="19">
                  <c:v>10697.585386171777</c:v>
                </c:pt>
                <c:pt idx="20">
                  <c:v>11619.26065195033</c:v>
                </c:pt>
                <c:pt idx="21">
                  <c:v>12603.504870398798</c:v>
                </c:pt>
                <c:pt idx="22">
                  <c:v>13654.217389033885</c:v>
                </c:pt>
                <c:pt idx="23">
                  <c:v>14775.531265168645</c:v>
                </c:pt>
                <c:pt idx="24">
                  <c:v>15971.826996911268</c:v>
                </c:pt>
                <c:pt idx="25">
                  <c:v>17247.747052179137</c:v>
                </c:pt>
                <c:pt idx="26">
                  <c:v>18608.211241822682</c:v>
                </c:pt>
                <c:pt idx="27">
                  <c:v>20058.432985606381</c:v>
                </c:pt>
                <c:pt idx="28">
                  <c:v>21603.936522599728</c:v>
                </c:pt>
                <c:pt idx="29">
                  <c:v>23250.575120497411</c:v>
                </c:pt>
              </c:numCache>
            </c:numRef>
          </c:val>
          <c:extLst>
            <c:ext xmlns:c16="http://schemas.microsoft.com/office/drawing/2014/chart" uri="{C3380CC4-5D6E-409C-BE32-E72D297353CC}">
              <c16:uniqueId val="{00000002-83E5-4706-A2A9-81C296BEE810}"/>
            </c:ext>
          </c:extLst>
        </c:ser>
        <c:ser>
          <c:idx val="3"/>
          <c:order val="3"/>
          <c:tx>
            <c:strRef>
              <c:f>ChartData!$L$1</c:f>
              <c:strCache>
                <c:ptCount val="1"/>
                <c:pt idx="0">
                  <c:v>Fees</c:v>
                </c:pt>
              </c:strCache>
            </c:strRef>
          </c:tx>
          <c:spPr>
            <a:solidFill>
              <a:srgbClr val="A9D18E"/>
            </a:solidFill>
            <a:ln w="9360">
              <a:solidFill>
                <a:srgbClr val="A9D18E"/>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ChartData!$A$2:$A$31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ChartData!$L$2:$L$31</c:f>
              <c:numCache>
                <c:formatCode>\$#,##0;"($"#,##0\);\-</c:formatCode>
                <c:ptCount val="30"/>
                <c:pt idx="0">
                  <c:v>786.25625000000002</c:v>
                </c:pt>
                <c:pt idx="1">
                  <c:v>924.84179531249993</c:v>
                </c:pt>
                <c:pt idx="2">
                  <c:v>1075.5461930941406</c:v>
                </c:pt>
                <c:pt idx="3">
                  <c:v>1238.0818488862801</c:v>
                </c:pt>
                <c:pt idx="4">
                  <c:v>1413.2285702298946</c:v>
                </c:pt>
                <c:pt idx="5">
                  <c:v>1601.8141582456658</c:v>
                </c:pt>
                <c:pt idx="6">
                  <c:v>1804.7172667183543</c:v>
                </c:pt>
                <c:pt idx="7">
                  <c:v>2022.8704286240391</c:v>
                </c:pt>
                <c:pt idx="8">
                  <c:v>2257.2632598145447</c:v>
                </c:pt>
                <c:pt idx="9">
                  <c:v>2508.9458501339309</c:v>
                </c:pt>
                <c:pt idx="10">
                  <c:v>2779.0323528347149</c:v>
                </c:pt>
                <c:pt idx="11">
                  <c:v>3068.7047837883847</c:v>
                </c:pt>
                <c:pt idx="12">
                  <c:v>3379.2170426477087</c:v>
                </c:pt>
                <c:pt idx="13">
                  <c:v>3711.8991688194101</c:v>
                </c:pt>
                <c:pt idx="14">
                  <c:v>4068.1618458471471</c:v>
                </c:pt>
                <c:pt idx="15">
                  <c:v>4449.5011685887521</c:v>
                </c:pt>
                <c:pt idx="16">
                  <c:v>4857.5036884007277</c:v>
                </c:pt>
                <c:pt idx="17">
                  <c:v>5293.8517524197723</c:v>
                </c:pt>
                <c:pt idx="18">
                  <c:v>5760.3291539581724</c:v>
                </c:pt>
                <c:pt idx="19">
                  <c:v>6258.8271120103609</c:v>
                </c:pt>
                <c:pt idx="20">
                  <c:v>6791.3505989046344</c:v>
                </c:pt>
                <c:pt idx="21">
                  <c:v>7360.0250362304159</c:v>
                </c:pt>
                <c:pt idx="22">
                  <c:v>7967.1033803306891</c:v>
                </c:pt>
                <c:pt idx="23">
                  <c:v>8614.973619875218</c:v>
                </c:pt>
                <c:pt idx="24">
                  <c:v>9306.1667093265114</c:v>
                </c:pt>
                <c:pt idx="25">
                  <c:v>10043.364963481279</c:v>
                </c:pt>
                <c:pt idx="26">
                  <c:v>10829.410939719772</c:v>
                </c:pt>
                <c:pt idx="27">
                  <c:v>11667.31683612813</c:v>
                </c:pt>
                <c:pt idx="28">
                  <c:v>12560.274435279844</c:v>
                </c:pt>
                <c:pt idx="29">
                  <c:v>13511.665625176283</c:v>
                </c:pt>
              </c:numCache>
            </c:numRef>
          </c:val>
          <c:extLst>
            <c:ext xmlns:c16="http://schemas.microsoft.com/office/drawing/2014/chart" uri="{C3380CC4-5D6E-409C-BE32-E72D297353CC}">
              <c16:uniqueId val="{00000003-83E5-4706-A2A9-81C296BEE810}"/>
            </c:ext>
          </c:extLst>
        </c:ser>
        <c:dLbls>
          <c:showLegendKey val="0"/>
          <c:showVal val="0"/>
          <c:showCatName val="0"/>
          <c:showSerName val="0"/>
          <c:showPercent val="0"/>
          <c:showBubbleSize val="0"/>
        </c:dLbls>
        <c:gapWidth val="150"/>
        <c:axId val="35031141"/>
        <c:axId val="66887380"/>
      </c:barChart>
      <c:catAx>
        <c:axId val="35031141"/>
        <c:scaling>
          <c:orientation val="minMax"/>
        </c:scaling>
        <c:delete val="0"/>
        <c:axPos val="b"/>
        <c:title>
          <c:tx>
            <c:rich>
              <a:bodyPr rot="0"/>
              <a:lstStyle/>
              <a:p>
                <a:pPr>
                  <a:defRPr lang="en-AU" sz="1000" b="1" strike="noStrike" spc="-1">
                    <a:solidFill>
                      <a:srgbClr val="000000"/>
                    </a:solidFill>
                    <a:latin typeface="Calibri"/>
                  </a:defRPr>
                </a:pPr>
                <a:r>
                  <a:rPr lang="en-AU" sz="1000" b="1" strike="noStrike" spc="-1">
                    <a:solidFill>
                      <a:srgbClr val="000000"/>
                    </a:solidFill>
                    <a:latin typeface="Calibri"/>
                  </a:rPr>
                  <a:t>Year</a:t>
                </a:r>
              </a:p>
            </c:rich>
          </c:tx>
          <c:overlay val="0"/>
          <c:spPr>
            <a:noFill/>
            <a:ln w="0">
              <a:noFill/>
            </a:ln>
          </c:spPr>
        </c:title>
        <c:numFmt formatCode="General"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66887380"/>
        <c:crosses val="autoZero"/>
        <c:auto val="1"/>
        <c:lblAlgn val="ctr"/>
        <c:lblOffset val="100"/>
        <c:noMultiLvlLbl val="0"/>
      </c:catAx>
      <c:valAx>
        <c:axId val="66887380"/>
        <c:scaling>
          <c:orientation val="minMax"/>
        </c:scaling>
        <c:delete val="0"/>
        <c:axPos val="l"/>
        <c:majorGridlines>
          <c:spPr>
            <a:ln w="0">
              <a:solidFill>
                <a:srgbClr val="B3B3B3"/>
              </a:solidFill>
            </a:ln>
          </c:spPr>
        </c:majorGridlines>
        <c:title>
          <c:tx>
            <c:rich>
              <a:bodyPr rot="-5400000"/>
              <a:lstStyle/>
              <a:p>
                <a:pPr>
                  <a:defRPr lang="en-AU" sz="1000" b="1" strike="noStrike" spc="-1">
                    <a:solidFill>
                      <a:srgbClr val="000000"/>
                    </a:solidFill>
                    <a:latin typeface="Calibri"/>
                  </a:defRPr>
                </a:pPr>
                <a:r>
                  <a:rPr lang="en-AU" sz="1000" b="1" strike="noStrike" spc="-1">
                    <a:solidFill>
                      <a:srgbClr val="000000"/>
                    </a:solidFill>
                    <a:latin typeface="Calibri"/>
                  </a:rPr>
                  <a:t>Amount ($)</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35031141"/>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lineChart>
        <c:grouping val="standard"/>
        <c:varyColors val="0"/>
        <c:ser>
          <c:idx val="0"/>
          <c:order val="0"/>
          <c:tx>
            <c:strRef>
              <c:f>ChartData!$N$1</c:f>
              <c:strCache>
                <c:ptCount val="1"/>
                <c:pt idx="0">
                  <c:v>Cumul Contribs</c:v>
                </c:pt>
              </c:strCache>
            </c:strRef>
          </c:tx>
          <c:spPr>
            <a:ln w="24840">
              <a:solidFill>
                <a:srgbClr val="2E75B6"/>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ChartData!$A$2:$A$31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ChartData!$N$2:$N$31</c:f>
              <c:numCache>
                <c:formatCode>General</c:formatCode>
                <c:ptCount val="30"/>
                <c:pt idx="0">
                  <c:v>10925</c:v>
                </c:pt>
                <c:pt idx="1">
                  <c:v>22724</c:v>
                </c:pt>
                <c:pt idx="2">
                  <c:v>34935.964999999997</c:v>
                </c:pt>
                <c:pt idx="3">
                  <c:v>47575.348774999991</c:v>
                </c:pt>
                <c:pt idx="4">
                  <c:v>60657.110982124985</c:v>
                </c:pt>
                <c:pt idx="5">
                  <c:v>74196.734866499348</c:v>
                </c:pt>
                <c:pt idx="6">
                  <c:v>88210.245586826815</c:v>
                </c:pt>
                <c:pt idx="7">
                  <c:v>102714.22918236574</c:v>
                </c:pt>
                <c:pt idx="8">
                  <c:v>117725.85220374854</c:v>
                </c:pt>
                <c:pt idx="9">
                  <c:v>133262.88203087973</c:v>
                </c:pt>
                <c:pt idx="10">
                  <c:v>149343.7079019605</c:v>
                </c:pt>
                <c:pt idx="11">
                  <c:v>165987.36267852911</c:v>
                </c:pt>
                <c:pt idx="12">
                  <c:v>183213.54537227761</c:v>
                </c:pt>
                <c:pt idx="13">
                  <c:v>201042.64446030732</c:v>
                </c:pt>
                <c:pt idx="14">
                  <c:v>219495.76201641804</c:v>
                </c:pt>
                <c:pt idx="15">
                  <c:v>238594.73868699264</c:v>
                </c:pt>
                <c:pt idx="16">
                  <c:v>258362.17954103736</c:v>
                </c:pt>
                <c:pt idx="17">
                  <c:v>278821.48082497367</c:v>
                </c:pt>
                <c:pt idx="18">
                  <c:v>299996.85765384772</c:v>
                </c:pt>
                <c:pt idx="19">
                  <c:v>321913.37267173233</c:v>
                </c:pt>
                <c:pt idx="20">
                  <c:v>344596.9657152429</c:v>
                </c:pt>
                <c:pt idx="21">
                  <c:v>368074.48451527639</c:v>
                </c:pt>
                <c:pt idx="22">
                  <c:v>392373.71647331101</c:v>
                </c:pt>
                <c:pt idx="23">
                  <c:v>417523.42154987686</c:v>
                </c:pt>
                <c:pt idx="24">
                  <c:v>443553.36630412249</c:v>
                </c:pt>
                <c:pt idx="25">
                  <c:v>470494.35912476672</c:v>
                </c:pt>
                <c:pt idx="26">
                  <c:v>498378.28669413354</c:v>
                </c:pt>
                <c:pt idx="27">
                  <c:v>527238.1517284282</c:v>
                </c:pt>
                <c:pt idx="28">
                  <c:v>557108.11203892319</c:v>
                </c:pt>
                <c:pt idx="29">
                  <c:v>588023.52096028544</c:v>
                </c:pt>
              </c:numCache>
            </c:numRef>
          </c:val>
          <c:smooth val="1"/>
          <c:extLst>
            <c:ext xmlns:c16="http://schemas.microsoft.com/office/drawing/2014/chart" uri="{C3380CC4-5D6E-409C-BE32-E72D297353CC}">
              <c16:uniqueId val="{00000000-F89F-43C5-81EB-D44841292C7A}"/>
            </c:ext>
          </c:extLst>
        </c:ser>
        <c:ser>
          <c:idx val="1"/>
          <c:order val="1"/>
          <c:tx>
            <c:strRef>
              <c:f>ChartData!$O$1</c:f>
              <c:strCache>
                <c:ptCount val="1"/>
                <c:pt idx="0">
                  <c:v>Cumul Earnings</c:v>
                </c:pt>
              </c:strCache>
            </c:strRef>
          </c:tx>
          <c:spPr>
            <a:ln w="24840">
              <a:solidFill>
                <a:srgbClr val="70AD47"/>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ChartData!$A$2:$A$31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ChartData!$O$2:$O$31</c:f>
              <c:numCache>
                <c:formatCode>General</c:formatCode>
                <c:ptCount val="30"/>
                <c:pt idx="0">
                  <c:v>8172.1875</c:v>
                </c:pt>
                <c:pt idx="1">
                  <c:v>17943.438984375</c:v>
                </c:pt>
                <c:pt idx="2">
                  <c:v>29453.587366230466</c:v>
                </c:pt>
                <c:pt idx="3">
                  <c:v>42839.147161072156</c:v>
                </c:pt>
                <c:pt idx="4">
                  <c:v>58245.630663724784</c:v>
                </c:pt>
                <c:pt idx="5">
                  <c:v>75828.101720405539</c:v>
                </c:pt>
                <c:pt idx="6">
                  <c:v>95751.762490232708</c:v>
                </c:pt>
                <c:pt idx="7">
                  <c:v>118192.57512820238</c:v>
                </c:pt>
                <c:pt idx="8">
                  <c:v>143337.92043375483</c:v>
                </c:pt>
                <c:pt idx="9">
                  <c:v>171387.29562760788</c:v>
                </c:pt>
                <c:pt idx="10">
                  <c:v>202553.05354493152</c:v>
                </c:pt>
                <c:pt idx="11">
                  <c:v>237061.18566556674</c:v>
                </c:pt>
                <c:pt idx="12">
                  <c:v>275152.15154227108</c:v>
                </c:pt>
                <c:pt idx="13">
                  <c:v>317081.75733634119</c:v>
                </c:pt>
                <c:pt idx="14">
                  <c:v>363122.08632688521</c:v>
                </c:pt>
                <c:pt idx="15">
                  <c:v>413562.48442598619</c:v>
                </c:pt>
                <c:pt idx="16">
                  <c:v>468710.60390753305</c:v>
                </c:pt>
                <c:pt idx="17">
                  <c:v>528893.50874314585</c:v>
                </c:pt>
                <c:pt idx="18">
                  <c:v>594458.84513497096</c:v>
                </c:pt>
                <c:pt idx="19">
                  <c:v>665776.08104278287</c:v>
                </c:pt>
                <c:pt idx="20">
                  <c:v>743237.81872245169</c:v>
                </c:pt>
                <c:pt idx="21">
                  <c:v>827261.18452511029</c:v>
                </c:pt>
                <c:pt idx="22">
                  <c:v>918289.30045200291</c:v>
                </c:pt>
                <c:pt idx="23">
                  <c:v>1016792.8422197939</c:v>
                </c:pt>
                <c:pt idx="24">
                  <c:v>1123271.6888658691</c:v>
                </c:pt>
                <c:pt idx="25">
                  <c:v>1238256.6692137299</c:v>
                </c:pt>
                <c:pt idx="26">
                  <c:v>1362311.4108258812</c:v>
                </c:pt>
                <c:pt idx="27">
                  <c:v>1496034.2973965905</c:v>
                </c:pt>
                <c:pt idx="28">
                  <c:v>1640060.5408805886</c:v>
                </c:pt>
                <c:pt idx="29">
                  <c:v>1795064.3750172381</c:v>
                </c:pt>
              </c:numCache>
            </c:numRef>
          </c:val>
          <c:smooth val="1"/>
          <c:extLst>
            <c:ext xmlns:c16="http://schemas.microsoft.com/office/drawing/2014/chart" uri="{C3380CC4-5D6E-409C-BE32-E72D297353CC}">
              <c16:uniqueId val="{00000001-F89F-43C5-81EB-D44841292C7A}"/>
            </c:ext>
          </c:extLst>
        </c:ser>
        <c:dLbls>
          <c:showLegendKey val="0"/>
          <c:showVal val="0"/>
          <c:showCatName val="0"/>
          <c:showSerName val="0"/>
          <c:showPercent val="0"/>
          <c:showBubbleSize val="0"/>
        </c:dLbls>
        <c:hiLowLines>
          <c:spPr>
            <a:ln w="0">
              <a:noFill/>
            </a:ln>
          </c:spPr>
        </c:hiLowLines>
        <c:smooth val="0"/>
        <c:axId val="1925830"/>
        <c:axId val="38911027"/>
      </c:lineChart>
      <c:catAx>
        <c:axId val="1925830"/>
        <c:scaling>
          <c:orientation val="minMax"/>
        </c:scaling>
        <c:delete val="0"/>
        <c:axPos val="b"/>
        <c:title>
          <c:tx>
            <c:rich>
              <a:bodyPr rot="0"/>
              <a:lstStyle/>
              <a:p>
                <a:pPr>
                  <a:defRPr lang="en-AU" sz="1000" b="1" strike="noStrike" spc="-1">
                    <a:solidFill>
                      <a:srgbClr val="000000"/>
                    </a:solidFill>
                    <a:latin typeface="Calibri"/>
                  </a:defRPr>
                </a:pPr>
                <a:r>
                  <a:rPr lang="en-AU" sz="1000" b="1" strike="noStrike" spc="-1">
                    <a:solidFill>
                      <a:srgbClr val="000000"/>
                    </a:solidFill>
                    <a:latin typeface="Calibri"/>
                  </a:rPr>
                  <a:t>Year</a:t>
                </a:r>
              </a:p>
            </c:rich>
          </c:tx>
          <c:overlay val="0"/>
          <c:spPr>
            <a:noFill/>
            <a:ln w="0">
              <a:noFill/>
            </a:ln>
          </c:spPr>
        </c:title>
        <c:numFmt formatCode="General"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38911027"/>
        <c:crosses val="autoZero"/>
        <c:auto val="1"/>
        <c:lblAlgn val="ctr"/>
        <c:lblOffset val="100"/>
        <c:noMultiLvlLbl val="0"/>
      </c:catAx>
      <c:valAx>
        <c:axId val="38911027"/>
        <c:scaling>
          <c:orientation val="minMax"/>
        </c:scaling>
        <c:delete val="0"/>
        <c:axPos val="l"/>
        <c:majorGridlines>
          <c:spPr>
            <a:ln w="0">
              <a:solidFill>
                <a:srgbClr val="B3B3B3"/>
              </a:solidFill>
            </a:ln>
          </c:spPr>
        </c:majorGridlines>
        <c:title>
          <c:tx>
            <c:rich>
              <a:bodyPr rot="-5400000"/>
              <a:lstStyle/>
              <a:p>
                <a:pPr>
                  <a:defRPr lang="en-AU" sz="1000" b="1" strike="noStrike" spc="-1">
                    <a:solidFill>
                      <a:srgbClr val="000000"/>
                    </a:solidFill>
                    <a:latin typeface="Calibri"/>
                  </a:defRPr>
                </a:pPr>
                <a:r>
                  <a:rPr lang="en-AU" sz="1000" b="1" strike="noStrike" spc="-1">
                    <a:solidFill>
                      <a:srgbClr val="000000"/>
                    </a:solidFill>
                    <a:latin typeface="Calibri"/>
                  </a:rPr>
                  <a:t>Cumulative ($)</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1925830"/>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lineChart>
        <c:grouping val="standard"/>
        <c:varyColors val="0"/>
        <c:ser>
          <c:idx val="0"/>
          <c:order val="0"/>
          <c:tx>
            <c:v>Option A</c:v>
          </c:tx>
          <c:spPr>
            <a:ln w="21960">
              <a:solidFill>
                <a:srgbClr val="4472C4"/>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'Investment Options'!$I$23:$I$53</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'Investment Options'!$J$23:$J$53</c:f>
              <c:numCache>
                <c:formatCode>General</c:formatCode>
                <c:ptCount val="31"/>
                <c:pt idx="0" formatCode="\$#,##0;&quot;($&quot;#,##0\);\-">
                  <c:v>100000</c:v>
                </c:pt>
                <c:pt idx="1">
                  <c:v>119800.00000000001</c:v>
                </c:pt>
                <c:pt idx="2">
                  <c:v>140550.40000000008</c:v>
                </c:pt>
                <c:pt idx="3">
                  <c:v>162296.81920000006</c:v>
                </c:pt>
                <c:pt idx="4">
                  <c:v>185087.06652160018</c:v>
                </c:pt>
                <c:pt idx="5">
                  <c:v>208971.24571463699</c:v>
                </c:pt>
                <c:pt idx="6">
                  <c:v>234001.86550893966</c:v>
                </c:pt>
                <c:pt idx="7">
                  <c:v>260233.9550533687</c:v>
                </c:pt>
                <c:pt idx="8">
                  <c:v>287725.18489593058</c:v>
                </c:pt>
                <c:pt idx="9">
                  <c:v>316535.99377093522</c:v>
                </c:pt>
                <c:pt idx="10">
                  <c:v>346729.72147194023</c:v>
                </c:pt>
                <c:pt idx="11">
                  <c:v>378372.74810259329</c:v>
                </c:pt>
                <c:pt idx="12">
                  <c:v>411534.64001151797</c:v>
                </c:pt>
                <c:pt idx="13">
                  <c:v>446288.30273207079</c:v>
                </c:pt>
                <c:pt idx="14">
                  <c:v>482710.14126321039</c:v>
                </c:pt>
                <c:pt idx="15">
                  <c:v>520880.2280438444</c:v>
                </c:pt>
                <c:pt idx="16">
                  <c:v>560882.47898994922</c:v>
                </c:pt>
                <c:pt idx="17">
                  <c:v>602804.8379814669</c:v>
                </c:pt>
                <c:pt idx="18">
                  <c:v>646739.47020457743</c:v>
                </c:pt>
                <c:pt idx="19">
                  <c:v>692782.96477439697</c:v>
                </c:pt>
                <c:pt idx="20">
                  <c:v>741036.54708356841</c:v>
                </c:pt>
                <c:pt idx="21">
                  <c:v>791606.30134357978</c:v>
                </c:pt>
                <c:pt idx="22">
                  <c:v>844603.40380807174</c:v>
                </c:pt>
                <c:pt idx="23">
                  <c:v>900144.36719085905</c:v>
                </c:pt>
                <c:pt idx="24">
                  <c:v>958351.29681602051</c:v>
                </c:pt>
                <c:pt idx="25">
                  <c:v>1019352.1590631895</c:v>
                </c:pt>
                <c:pt idx="26">
                  <c:v>1083281.0626982227</c:v>
                </c:pt>
                <c:pt idx="27">
                  <c:v>1150278.5537077375</c:v>
                </c:pt>
                <c:pt idx="28">
                  <c:v>1220491.9242857094</c:v>
                </c:pt>
                <c:pt idx="29">
                  <c:v>1294075.5366514232</c:v>
                </c:pt>
                <c:pt idx="30">
                  <c:v>1371191.1624106918</c:v>
                </c:pt>
              </c:numCache>
            </c:numRef>
          </c:val>
          <c:smooth val="1"/>
          <c:extLst>
            <c:ext xmlns:c16="http://schemas.microsoft.com/office/drawing/2014/chart" uri="{C3380CC4-5D6E-409C-BE32-E72D297353CC}">
              <c16:uniqueId val="{00000000-3215-4F8D-88B5-49C308F84D23}"/>
            </c:ext>
          </c:extLst>
        </c:ser>
        <c:ser>
          <c:idx val="1"/>
          <c:order val="1"/>
          <c:tx>
            <c:v>Option B</c:v>
          </c:tx>
          <c:spPr>
            <a:ln w="21960">
              <a:solidFill>
                <a:srgbClr val="70AD47"/>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'Investment Options'!$I$23:$I$53</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'Investment Options'!$K$23:$K$53</c:f>
              <c:numCache>
                <c:formatCode>General</c:formatCode>
                <c:ptCount val="31"/>
                <c:pt idx="0" formatCode="\$#,##0;&quot;($&quot;#,##0\);\-">
                  <c:v>100000</c:v>
                </c:pt>
                <c:pt idx="1">
                  <c:v>121900</c:v>
                </c:pt>
                <c:pt idx="2">
                  <c:v>145311.09999999998</c:v>
                </c:pt>
                <c:pt idx="3">
                  <c:v>170337.56589999999</c:v>
                </c:pt>
                <c:pt idx="4">
                  <c:v>197090.85794709995</c:v>
                </c:pt>
                <c:pt idx="5">
                  <c:v>225690.12714544981</c:v>
                </c:pt>
                <c:pt idx="6">
                  <c:v>256262.7459184858</c:v>
                </c:pt>
                <c:pt idx="7">
                  <c:v>288944.87538686139</c:v>
                </c:pt>
                <c:pt idx="8">
                  <c:v>323882.07178855472</c:v>
                </c:pt>
                <c:pt idx="9">
                  <c:v>361229.93474196503</c:v>
                </c:pt>
                <c:pt idx="10">
                  <c:v>401154.80023916054</c:v>
                </c:pt>
                <c:pt idx="11">
                  <c:v>443834.48145566264</c:v>
                </c:pt>
                <c:pt idx="12">
                  <c:v>489459.06067610328</c:v>
                </c:pt>
                <c:pt idx="13">
                  <c:v>538231.73586275429</c:v>
                </c:pt>
                <c:pt idx="14">
                  <c:v>590369.72563728422</c:v>
                </c:pt>
                <c:pt idx="15">
                  <c:v>646105.23670625698</c:v>
                </c:pt>
                <c:pt idx="16">
                  <c:v>705686.49803898856</c:v>
                </c:pt>
                <c:pt idx="17">
                  <c:v>769378.86640367878</c:v>
                </c:pt>
                <c:pt idx="18">
                  <c:v>837466.00818553264</c:v>
                </c:pt>
                <c:pt idx="19">
                  <c:v>910251.16275033436</c:v>
                </c:pt>
                <c:pt idx="20">
                  <c:v>988058.4929801072</c:v>
                </c:pt>
                <c:pt idx="21">
                  <c:v>1071234.5289957346</c:v>
                </c:pt>
                <c:pt idx="22">
                  <c:v>1160149.7114964402</c:v>
                </c:pt>
                <c:pt idx="23">
                  <c:v>1255200.0415896946</c:v>
                </c:pt>
                <c:pt idx="24">
                  <c:v>1356808.8444593833</c:v>
                </c:pt>
                <c:pt idx="25">
                  <c:v>1465428.6547270808</c:v>
                </c:pt>
                <c:pt idx="26">
                  <c:v>1581543.2319032489</c:v>
                </c:pt>
                <c:pt idx="27">
                  <c:v>1705669.7149045735</c:v>
                </c:pt>
                <c:pt idx="28">
                  <c:v>1838360.9252329888</c:v>
                </c:pt>
                <c:pt idx="29">
                  <c:v>1980207.8290740645</c:v>
                </c:pt>
                <c:pt idx="30">
                  <c:v>2131842.1692801751</c:v>
                </c:pt>
              </c:numCache>
            </c:numRef>
          </c:val>
          <c:smooth val="1"/>
          <c:extLst>
            <c:ext xmlns:c16="http://schemas.microsoft.com/office/drawing/2014/chart" uri="{C3380CC4-5D6E-409C-BE32-E72D297353CC}">
              <c16:uniqueId val="{00000001-3215-4F8D-88B5-49C308F84D23}"/>
            </c:ext>
          </c:extLst>
        </c:ser>
        <c:ser>
          <c:idx val="2"/>
          <c:order val="2"/>
          <c:tx>
            <c:v>Option C</c:v>
          </c:tx>
          <c:spPr>
            <a:ln w="21960">
              <a:solidFill>
                <a:srgbClr val="FF8C00"/>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'Investment Options'!$I$23:$I$53</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'Investment Options'!$L$23:$L$53</c:f>
              <c:numCache>
                <c:formatCode>General</c:formatCode>
                <c:ptCount val="31"/>
                <c:pt idx="0" formatCode="\$#,##0;&quot;($&quot;#,##0\);\-">
                  <c:v>100000</c:v>
                </c:pt>
                <c:pt idx="1">
                  <c:v>123100.00000000004</c:v>
                </c:pt>
                <c:pt idx="2">
                  <c:v>148071.10000000009</c:v>
                </c:pt>
                <c:pt idx="3">
                  <c:v>175064.85910000015</c:v>
                </c:pt>
                <c:pt idx="4">
                  <c:v>204245.11268710031</c:v>
                </c:pt>
                <c:pt idx="5">
                  <c:v>235788.96681475552</c:v>
                </c:pt>
                <c:pt idx="6">
                  <c:v>269887.87312675081</c:v>
                </c:pt>
                <c:pt idx="7">
                  <c:v>306748.79085001757</c:v>
                </c:pt>
                <c:pt idx="8">
                  <c:v>346595.44290886924</c:v>
                </c:pt>
                <c:pt idx="9">
                  <c:v>389669.67378448776</c:v>
                </c:pt>
                <c:pt idx="10">
                  <c:v>436232.91736103129</c:v>
                </c:pt>
                <c:pt idx="11">
                  <c:v>486567.78366727498</c:v>
                </c:pt>
                <c:pt idx="12">
                  <c:v>540979.77414432436</c:v>
                </c:pt>
                <c:pt idx="13">
                  <c:v>599799.13585001486</c:v>
                </c:pt>
                <c:pt idx="14">
                  <c:v>663382.86585386633</c:v>
                </c:pt>
                <c:pt idx="15">
                  <c:v>732116.87798802927</c:v>
                </c:pt>
                <c:pt idx="16">
                  <c:v>806418.34510506014</c:v>
                </c:pt>
                <c:pt idx="17">
                  <c:v>886738.23105857021</c:v>
                </c:pt>
                <c:pt idx="18">
                  <c:v>973564.02777431451</c:v>
                </c:pt>
                <c:pt idx="19">
                  <c:v>1067422.7140240341</c:v>
                </c:pt>
                <c:pt idx="20">
                  <c:v>1168883.9538599814</c:v>
                </c:pt>
                <c:pt idx="21">
                  <c:v>1278563.5541226401</c:v>
                </c:pt>
                <c:pt idx="22">
                  <c:v>1397127.2020065743</c:v>
                </c:pt>
                <c:pt idx="23">
                  <c:v>1525294.5053691068</c:v>
                </c:pt>
                <c:pt idx="24">
                  <c:v>1663843.360304005</c:v>
                </c:pt>
                <c:pt idx="25">
                  <c:v>1813614.6724886298</c:v>
                </c:pt>
                <c:pt idx="26">
                  <c:v>1975517.4609602094</c:v>
                </c:pt>
                <c:pt idx="27">
                  <c:v>2150534.3752979869</c:v>
                </c:pt>
                <c:pt idx="28">
                  <c:v>2339727.6596971238</c:v>
                </c:pt>
                <c:pt idx="29">
                  <c:v>2544245.6001325916</c:v>
                </c:pt>
                <c:pt idx="30">
                  <c:v>2765329.4937433326</c:v>
                </c:pt>
              </c:numCache>
            </c:numRef>
          </c:val>
          <c:smooth val="1"/>
          <c:extLst>
            <c:ext xmlns:c16="http://schemas.microsoft.com/office/drawing/2014/chart" uri="{C3380CC4-5D6E-409C-BE32-E72D297353CC}">
              <c16:uniqueId val="{00000002-3215-4F8D-88B5-49C308F84D23}"/>
            </c:ext>
          </c:extLst>
        </c:ser>
        <c:dLbls>
          <c:showLegendKey val="0"/>
          <c:showVal val="0"/>
          <c:showCatName val="0"/>
          <c:showSerName val="0"/>
          <c:showPercent val="0"/>
          <c:showBubbleSize val="0"/>
        </c:dLbls>
        <c:hiLowLines>
          <c:spPr>
            <a:ln w="0">
              <a:noFill/>
            </a:ln>
          </c:spPr>
        </c:hiLowLines>
        <c:smooth val="0"/>
        <c:axId val="68048276"/>
        <c:axId val="68272152"/>
      </c:lineChart>
      <c:catAx>
        <c:axId val="68048276"/>
        <c:scaling>
          <c:orientation val="minMax"/>
        </c:scaling>
        <c:delete val="0"/>
        <c:axPos val="b"/>
        <c:title>
          <c:tx>
            <c:rich>
              <a:bodyPr rot="0"/>
              <a:lstStyle/>
              <a:p>
                <a:pPr>
                  <a:defRPr sz="1000" b="1" strike="noStrike" spc="-1">
                    <a:solidFill>
                      <a:srgbClr val="000000"/>
                    </a:solidFill>
                    <a:latin typeface="Calibri"/>
                  </a:defRPr>
                </a:pPr>
                <a:r>
                  <a:rPr sz="1000" b="1" strike="noStrike" spc="-1">
                    <a:solidFill>
                      <a:srgbClr val="000000"/>
                    </a:solidFill>
                    <a:latin typeface="Calibri"/>
                  </a:rPr>
                  <a:t>Year</a:t>
                </a:r>
              </a:p>
            </c:rich>
          </c:tx>
          <c:overlay val="0"/>
          <c:spPr>
            <a:noFill/>
            <a:ln w="0">
              <a:noFill/>
            </a:ln>
          </c:spPr>
        </c:title>
        <c:numFmt formatCode="General"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68272152"/>
        <c:crosses val="autoZero"/>
        <c:auto val="1"/>
        <c:lblAlgn val="ctr"/>
        <c:lblOffset val="100"/>
        <c:noMultiLvlLbl val="0"/>
      </c:catAx>
      <c:valAx>
        <c:axId val="68272152"/>
        <c:scaling>
          <c:orientation val="minMax"/>
        </c:scaling>
        <c:delete val="0"/>
        <c:axPos val="l"/>
        <c:majorGridlines>
          <c:spPr>
            <a:ln w="0">
              <a:solidFill>
                <a:srgbClr val="B3B3B3"/>
              </a:solidFill>
            </a:ln>
          </c:spPr>
        </c:majorGridlines>
        <c:title>
          <c:tx>
            <c:rich>
              <a:bodyPr rot="-5400000"/>
              <a:lstStyle/>
              <a:p>
                <a:pPr>
                  <a:defRPr sz="1000" b="1" strike="noStrike" spc="-1">
                    <a:solidFill>
                      <a:srgbClr val="000000"/>
                    </a:solidFill>
                    <a:latin typeface="Calibri"/>
                  </a:defRPr>
                </a:pPr>
                <a:r>
                  <a:rPr sz="1000" b="1" strike="noStrike" spc="-1">
                    <a:solidFill>
                      <a:srgbClr val="000000"/>
                    </a:solidFill>
                    <a:latin typeface="Calibri"/>
                  </a:rPr>
                  <a:t>Balance ($)</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68048276"/>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lineChart>
        <c:grouping val="standard"/>
        <c:varyColors val="0"/>
        <c:ser>
          <c:idx val="0"/>
          <c:order val="0"/>
          <c:tx>
            <c:strRef>
              <c:f>'Pension Drawdown'!$G$24</c:f>
              <c:strCache>
                <c:ptCount val="1"/>
                <c:pt idx="0">
                  <c:v>Closing
Balance ($)</c:v>
                </c:pt>
              </c:strCache>
            </c:strRef>
          </c:tx>
          <c:spPr>
            <a:ln w="24840">
              <a:solidFill>
                <a:srgbClr val="1F3864"/>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'Pension Drawdown'!$B$25:$B$60</c:f>
              <c:numCache>
                <c:formatCode>0</c:formatCode>
                <c:ptCount val="36"/>
                <c:pt idx="0">
                  <c:v>65</c:v>
                </c:pt>
                <c:pt idx="1">
                  <c:v>66</c:v>
                </c:pt>
                <c:pt idx="2">
                  <c:v>67</c:v>
                </c:pt>
                <c:pt idx="3">
                  <c:v>68</c:v>
                </c:pt>
                <c:pt idx="4">
                  <c:v>69</c:v>
                </c:pt>
                <c:pt idx="5">
                  <c:v>70</c:v>
                </c:pt>
                <c:pt idx="6">
                  <c:v>71</c:v>
                </c:pt>
                <c:pt idx="7">
                  <c:v>72</c:v>
                </c:pt>
                <c:pt idx="8">
                  <c:v>73</c:v>
                </c:pt>
                <c:pt idx="9">
                  <c:v>74</c:v>
                </c:pt>
                <c:pt idx="10">
                  <c:v>75</c:v>
                </c:pt>
                <c:pt idx="11">
                  <c:v>76</c:v>
                </c:pt>
                <c:pt idx="12">
                  <c:v>77</c:v>
                </c:pt>
                <c:pt idx="13">
                  <c:v>78</c:v>
                </c:pt>
                <c:pt idx="14">
                  <c:v>79</c:v>
                </c:pt>
                <c:pt idx="15">
                  <c:v>80</c:v>
                </c:pt>
                <c:pt idx="16">
                  <c:v>81</c:v>
                </c:pt>
                <c:pt idx="17">
                  <c:v>82</c:v>
                </c:pt>
                <c:pt idx="18">
                  <c:v>83</c:v>
                </c:pt>
                <c:pt idx="19">
                  <c:v>84</c:v>
                </c:pt>
                <c:pt idx="20">
                  <c:v>85</c:v>
                </c:pt>
                <c:pt idx="21">
                  <c:v>86</c:v>
                </c:pt>
                <c:pt idx="22">
                  <c:v>87</c:v>
                </c:pt>
                <c:pt idx="23">
                  <c:v>88</c:v>
                </c:pt>
                <c:pt idx="24">
                  <c:v>89</c:v>
                </c:pt>
                <c:pt idx="25">
                  <c:v>90</c:v>
                </c:pt>
                <c:pt idx="26">
                  <c:v>91</c:v>
                </c:pt>
                <c:pt idx="27">
                  <c:v>92</c:v>
                </c:pt>
                <c:pt idx="28">
                  <c:v>93</c:v>
                </c:pt>
                <c:pt idx="29">
                  <c:v>94</c:v>
                </c:pt>
                <c:pt idx="30">
                  <c:v>95</c:v>
                </c:pt>
                <c:pt idx="31">
                  <c:v>96</c:v>
                </c:pt>
                <c:pt idx="32">
                  <c:v>97</c:v>
                </c:pt>
                <c:pt idx="33">
                  <c:v>98</c:v>
                </c:pt>
                <c:pt idx="34">
                  <c:v>99</c:v>
                </c:pt>
                <c:pt idx="35">
                  <c:v>100</c:v>
                </c:pt>
              </c:numCache>
            </c:numRef>
          </c:cat>
          <c:val>
            <c:numRef>
              <c:f>'Pension Drawdown'!$G$25:$G$60</c:f>
              <c:numCache>
                <c:formatCode>\$#,##0;"($"#,##0\);\-</c:formatCode>
                <c:ptCount val="36"/>
                <c:pt idx="0">
                  <c:v>401372</c:v>
                </c:pt>
                <c:pt idx="1">
                  <c:v>402748.97350000002</c:v>
                </c:pt>
                <c:pt idx="2">
                  <c:v>404130.93852893752</c:v>
                </c:pt>
                <c:pt idx="3">
                  <c:v>405517.91318110487</c:v>
                </c:pt>
                <c:pt idx="4">
                  <c:v>406909.91561638634</c:v>
                </c:pt>
                <c:pt idx="5">
                  <c:v>408306.96406049572</c:v>
                </c:pt>
                <c:pt idx="6">
                  <c:v>409709.07680521504</c:v>
                </c:pt>
                <c:pt idx="7">
                  <c:v>411116.27220863395</c:v>
                </c:pt>
                <c:pt idx="8">
                  <c:v>412528.56869539025</c:v>
                </c:pt>
                <c:pt idx="9">
                  <c:v>413945.98475691106</c:v>
                </c:pt>
                <c:pt idx="10">
                  <c:v>411115.24395827763</c:v>
                </c:pt>
                <c:pt idx="11">
                  <c:v>408303.32758595509</c:v>
                </c:pt>
                <c:pt idx="12">
                  <c:v>405510.11045750853</c:v>
                </c:pt>
                <c:pt idx="13">
                  <c:v>402735.46822296613</c:v>
                </c:pt>
                <c:pt idx="14">
                  <c:v>399979.27735928341</c:v>
                </c:pt>
                <c:pt idx="15">
                  <c:v>393131.62808997754</c:v>
                </c:pt>
                <c:pt idx="16">
                  <c:v>386399.87528455467</c:v>
                </c:pt>
                <c:pt idx="17">
                  <c:v>379782.05739536358</c:v>
                </c:pt>
                <c:pt idx="18">
                  <c:v>373276.24607394706</c:v>
                </c:pt>
                <c:pt idx="19">
                  <c:v>366880.54560914554</c:v>
                </c:pt>
                <c:pt idx="20">
                  <c:v>353053.69716244284</c:v>
                </c:pt>
                <c:pt idx="21">
                  <c:v>339745.00986128027</c:v>
                </c:pt>
                <c:pt idx="22">
                  <c:v>326935.0656167288</c:v>
                </c:pt>
                <c:pt idx="23">
                  <c:v>314605.17403274187</c:v>
                </c:pt>
                <c:pt idx="24">
                  <c:v>302737.34513586486</c:v>
                </c:pt>
                <c:pt idx="25">
                  <c:v>285093.01068435627</c:v>
                </c:pt>
                <c:pt idx="26">
                  <c:v>268472.4887393965</c:v>
                </c:pt>
                <c:pt idx="27">
                  <c:v>252816.37258029301</c:v>
                </c:pt>
                <c:pt idx="28">
                  <c:v>238068.70256132149</c:v>
                </c:pt>
                <c:pt idx="29">
                  <c:v>224176.76609520082</c:v>
                </c:pt>
                <c:pt idx="30">
                  <c:v>204180.6604276422</c:v>
                </c:pt>
                <c:pt idx="31">
                  <c:v>185961.2087486462</c:v>
                </c:pt>
                <c:pt idx="32">
                  <c:v>169360.55535132898</c:v>
                </c:pt>
                <c:pt idx="33">
                  <c:v>154234.87000836342</c:v>
                </c:pt>
                <c:pt idx="34">
                  <c:v>140453.10180812032</c:v>
                </c:pt>
                <c:pt idx="35">
                  <c:v>127895.84371246884</c:v>
                </c:pt>
              </c:numCache>
            </c:numRef>
          </c:val>
          <c:smooth val="1"/>
          <c:extLst>
            <c:ext xmlns:c16="http://schemas.microsoft.com/office/drawing/2014/chart" uri="{C3380CC4-5D6E-409C-BE32-E72D297353CC}">
              <c16:uniqueId val="{00000000-B93E-4354-AF4B-54DD81653AFD}"/>
            </c:ext>
          </c:extLst>
        </c:ser>
        <c:ser>
          <c:idx val="1"/>
          <c:order val="1"/>
          <c:tx>
            <c:strRef>
              <c:f>'Pension Drawdown'!$L$24</c:f>
              <c:strCache>
                <c:ptCount val="1"/>
                <c:pt idx="0">
                  <c:v>Closing
Balance ($)</c:v>
                </c:pt>
              </c:strCache>
            </c:strRef>
          </c:tx>
          <c:spPr>
            <a:ln w="21960">
              <a:solidFill>
                <a:srgbClr val="2E75B6"/>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'Pension Drawdown'!$B$25:$B$60</c:f>
              <c:numCache>
                <c:formatCode>0</c:formatCode>
                <c:ptCount val="36"/>
                <c:pt idx="0">
                  <c:v>65</c:v>
                </c:pt>
                <c:pt idx="1">
                  <c:v>66</c:v>
                </c:pt>
                <c:pt idx="2">
                  <c:v>67</c:v>
                </c:pt>
                <c:pt idx="3">
                  <c:v>68</c:v>
                </c:pt>
                <c:pt idx="4">
                  <c:v>69</c:v>
                </c:pt>
                <c:pt idx="5">
                  <c:v>70</c:v>
                </c:pt>
                <c:pt idx="6">
                  <c:v>71</c:v>
                </c:pt>
                <c:pt idx="7">
                  <c:v>72</c:v>
                </c:pt>
                <c:pt idx="8">
                  <c:v>73</c:v>
                </c:pt>
                <c:pt idx="9">
                  <c:v>74</c:v>
                </c:pt>
                <c:pt idx="10">
                  <c:v>75</c:v>
                </c:pt>
                <c:pt idx="11">
                  <c:v>76</c:v>
                </c:pt>
                <c:pt idx="12">
                  <c:v>77</c:v>
                </c:pt>
                <c:pt idx="13">
                  <c:v>78</c:v>
                </c:pt>
                <c:pt idx="14">
                  <c:v>79</c:v>
                </c:pt>
                <c:pt idx="15">
                  <c:v>80</c:v>
                </c:pt>
                <c:pt idx="16">
                  <c:v>81</c:v>
                </c:pt>
                <c:pt idx="17">
                  <c:v>82</c:v>
                </c:pt>
                <c:pt idx="18">
                  <c:v>83</c:v>
                </c:pt>
                <c:pt idx="19">
                  <c:v>84</c:v>
                </c:pt>
                <c:pt idx="20">
                  <c:v>85</c:v>
                </c:pt>
                <c:pt idx="21">
                  <c:v>86</c:v>
                </c:pt>
                <c:pt idx="22">
                  <c:v>87</c:v>
                </c:pt>
                <c:pt idx="23">
                  <c:v>88</c:v>
                </c:pt>
                <c:pt idx="24">
                  <c:v>89</c:v>
                </c:pt>
                <c:pt idx="25">
                  <c:v>90</c:v>
                </c:pt>
                <c:pt idx="26">
                  <c:v>91</c:v>
                </c:pt>
                <c:pt idx="27">
                  <c:v>92</c:v>
                </c:pt>
                <c:pt idx="28">
                  <c:v>93</c:v>
                </c:pt>
                <c:pt idx="29">
                  <c:v>94</c:v>
                </c:pt>
                <c:pt idx="30">
                  <c:v>95</c:v>
                </c:pt>
                <c:pt idx="31">
                  <c:v>96</c:v>
                </c:pt>
                <c:pt idx="32">
                  <c:v>97</c:v>
                </c:pt>
                <c:pt idx="33">
                  <c:v>98</c:v>
                </c:pt>
                <c:pt idx="34">
                  <c:v>99</c:v>
                </c:pt>
                <c:pt idx="35">
                  <c:v>100</c:v>
                </c:pt>
              </c:numCache>
            </c:numRef>
          </c:cat>
          <c:val>
            <c:numRef>
              <c:f>'Pension Drawdown'!$L$25:$L$60</c:f>
              <c:numCache>
                <c:formatCode>\$#,##0;"($"#,##0\);\-</c:formatCode>
                <c:ptCount val="36"/>
                <c:pt idx="0">
                  <c:v>405482</c:v>
                </c:pt>
                <c:pt idx="1">
                  <c:v>411040.19979999994</c:v>
                </c:pt>
                <c:pt idx="2">
                  <c:v>416675.65857721993</c:v>
                </c:pt>
                <c:pt idx="3">
                  <c:v>422389.45023144333</c:v>
                </c:pt>
                <c:pt idx="4">
                  <c:v>428182.66358966043</c:v>
                </c:pt>
                <c:pt idx="5">
                  <c:v>434056.40261355671</c:v>
                </c:pt>
                <c:pt idx="6">
                  <c:v>440011.78660988511</c:v>
                </c:pt>
                <c:pt idx="7">
                  <c:v>446049.95044376253</c:v>
                </c:pt>
                <c:pt idx="8">
                  <c:v>452172.04475493083</c:v>
                </c:pt>
                <c:pt idx="9">
                  <c:v>458379.23617702437</c:v>
                </c:pt>
                <c:pt idx="10">
                  <c:v>464672.70755988499</c:v>
                </c:pt>
                <c:pt idx="11">
                  <c:v>471053.65819496743</c:v>
                </c:pt>
                <c:pt idx="12">
                  <c:v>477523.30404387746</c:v>
                </c:pt>
                <c:pt idx="13">
                  <c:v>484082.87797008734</c:v>
                </c:pt>
                <c:pt idx="14">
                  <c:v>490733.62997387158</c:v>
                </c:pt>
                <c:pt idx="15">
                  <c:v>497476.82743050839</c:v>
                </c:pt>
                <c:pt idx="16">
                  <c:v>504313.75533179246</c:v>
                </c:pt>
                <c:pt idx="17">
                  <c:v>511245.71653090441</c:v>
                </c:pt>
                <c:pt idx="18">
                  <c:v>518274.03199068399</c:v>
                </c:pt>
                <c:pt idx="19">
                  <c:v>525400.04103535449</c:v>
                </c:pt>
                <c:pt idx="20">
                  <c:v>532625.10160574596</c:v>
                </c:pt>
                <c:pt idx="21">
                  <c:v>539950.59051806584</c:v>
                </c:pt>
                <c:pt idx="22">
                  <c:v>547377.90372626693</c:v>
                </c:pt>
                <c:pt idx="23">
                  <c:v>554908.45658806211</c:v>
                </c:pt>
                <c:pt idx="24">
                  <c:v>562543.68413463619</c:v>
                </c:pt>
                <c:pt idx="25">
                  <c:v>570285.04134410771</c:v>
                </c:pt>
                <c:pt idx="26">
                  <c:v>578134.00341879076</c:v>
                </c:pt>
                <c:pt idx="27">
                  <c:v>586092.06606631191</c:v>
                </c:pt>
                <c:pt idx="28">
                  <c:v>594160.74578463368</c:v>
                </c:pt>
                <c:pt idx="29">
                  <c:v>602341.58015104011</c:v>
                </c:pt>
                <c:pt idx="30">
                  <c:v>610636.12811513967</c:v>
                </c:pt>
                <c:pt idx="31">
                  <c:v>619045.97029594018</c:v>
                </c:pt>
                <c:pt idx="32">
                  <c:v>627572.70928305376</c:v>
                </c:pt>
                <c:pt idx="33">
                  <c:v>636217.96994208812</c:v>
                </c:pt>
                <c:pt idx="34">
                  <c:v>644983.39972428314</c:v>
                </c:pt>
                <c:pt idx="35">
                  <c:v>653870.66898045072</c:v>
                </c:pt>
              </c:numCache>
            </c:numRef>
          </c:val>
          <c:smooth val="1"/>
          <c:extLst>
            <c:ext xmlns:c16="http://schemas.microsoft.com/office/drawing/2014/chart" uri="{C3380CC4-5D6E-409C-BE32-E72D297353CC}">
              <c16:uniqueId val="{00000001-B93E-4354-AF4B-54DD81653AFD}"/>
            </c:ext>
          </c:extLst>
        </c:ser>
        <c:ser>
          <c:idx val="2"/>
          <c:order val="2"/>
          <c:tx>
            <c:strRef>
              <c:f>'Pension Drawdown'!$Q$24</c:f>
              <c:strCache>
                <c:ptCount val="1"/>
                <c:pt idx="0">
                  <c:v>Closing
Balance ($)</c:v>
                </c:pt>
              </c:strCache>
            </c:strRef>
          </c:tx>
          <c:spPr>
            <a:ln w="21960">
              <a:solidFill>
                <a:srgbClr val="2E8B57"/>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'Pension Drawdown'!$B$25:$B$60</c:f>
              <c:numCache>
                <c:formatCode>0</c:formatCode>
                <c:ptCount val="36"/>
                <c:pt idx="0">
                  <c:v>65</c:v>
                </c:pt>
                <c:pt idx="1">
                  <c:v>66</c:v>
                </c:pt>
                <c:pt idx="2">
                  <c:v>67</c:v>
                </c:pt>
                <c:pt idx="3">
                  <c:v>68</c:v>
                </c:pt>
                <c:pt idx="4">
                  <c:v>69</c:v>
                </c:pt>
                <c:pt idx="5">
                  <c:v>70</c:v>
                </c:pt>
                <c:pt idx="6">
                  <c:v>71</c:v>
                </c:pt>
                <c:pt idx="7">
                  <c:v>72</c:v>
                </c:pt>
                <c:pt idx="8">
                  <c:v>73</c:v>
                </c:pt>
                <c:pt idx="9">
                  <c:v>74</c:v>
                </c:pt>
                <c:pt idx="10">
                  <c:v>75</c:v>
                </c:pt>
                <c:pt idx="11">
                  <c:v>76</c:v>
                </c:pt>
                <c:pt idx="12">
                  <c:v>77</c:v>
                </c:pt>
                <c:pt idx="13">
                  <c:v>78</c:v>
                </c:pt>
                <c:pt idx="14">
                  <c:v>79</c:v>
                </c:pt>
                <c:pt idx="15">
                  <c:v>80</c:v>
                </c:pt>
                <c:pt idx="16">
                  <c:v>81</c:v>
                </c:pt>
                <c:pt idx="17">
                  <c:v>82</c:v>
                </c:pt>
                <c:pt idx="18">
                  <c:v>83</c:v>
                </c:pt>
                <c:pt idx="19">
                  <c:v>84</c:v>
                </c:pt>
                <c:pt idx="20">
                  <c:v>85</c:v>
                </c:pt>
                <c:pt idx="21">
                  <c:v>86</c:v>
                </c:pt>
                <c:pt idx="22">
                  <c:v>87</c:v>
                </c:pt>
                <c:pt idx="23">
                  <c:v>88</c:v>
                </c:pt>
                <c:pt idx="24">
                  <c:v>89</c:v>
                </c:pt>
                <c:pt idx="25">
                  <c:v>90</c:v>
                </c:pt>
                <c:pt idx="26">
                  <c:v>91</c:v>
                </c:pt>
                <c:pt idx="27">
                  <c:v>92</c:v>
                </c:pt>
                <c:pt idx="28">
                  <c:v>93</c:v>
                </c:pt>
                <c:pt idx="29">
                  <c:v>94</c:v>
                </c:pt>
                <c:pt idx="30">
                  <c:v>95</c:v>
                </c:pt>
                <c:pt idx="31">
                  <c:v>96</c:v>
                </c:pt>
                <c:pt idx="32">
                  <c:v>97</c:v>
                </c:pt>
                <c:pt idx="33">
                  <c:v>98</c:v>
                </c:pt>
                <c:pt idx="34">
                  <c:v>99</c:v>
                </c:pt>
                <c:pt idx="35">
                  <c:v>100</c:v>
                </c:pt>
              </c:numCache>
            </c:numRef>
          </c:cat>
          <c:val>
            <c:numRef>
              <c:f>'Pension Drawdown'!$Q$25:$Q$60</c:f>
              <c:numCache>
                <c:formatCode>\$#,##0;"($"#,##0\);\-</c:formatCode>
                <c:ptCount val="36"/>
                <c:pt idx="0">
                  <c:v>401372</c:v>
                </c:pt>
                <c:pt idx="1">
                  <c:v>402748.97350000002</c:v>
                </c:pt>
                <c:pt idx="2">
                  <c:v>404130.93852893752</c:v>
                </c:pt>
                <c:pt idx="3">
                  <c:v>405517.91318110487</c:v>
                </c:pt>
                <c:pt idx="4">
                  <c:v>406909.91561638634</c:v>
                </c:pt>
                <c:pt idx="5">
                  <c:v>408306.96406049572</c:v>
                </c:pt>
                <c:pt idx="6">
                  <c:v>409709.07680521504</c:v>
                </c:pt>
                <c:pt idx="7">
                  <c:v>411116.27220863395</c:v>
                </c:pt>
                <c:pt idx="8">
                  <c:v>412528.56869539025</c:v>
                </c:pt>
                <c:pt idx="9">
                  <c:v>413945.98475691106</c:v>
                </c:pt>
                <c:pt idx="10">
                  <c:v>415368.5389516548</c:v>
                </c:pt>
                <c:pt idx="11">
                  <c:v>416796.24990535452</c:v>
                </c:pt>
                <c:pt idx="12">
                  <c:v>418229.13631126145</c:v>
                </c:pt>
                <c:pt idx="13">
                  <c:v>419667.21693038975</c:v>
                </c:pt>
                <c:pt idx="14">
                  <c:v>421110.51059176243</c:v>
                </c:pt>
                <c:pt idx="15">
                  <c:v>422559.0361926576</c:v>
                </c:pt>
                <c:pt idx="16">
                  <c:v>424012.812698856</c:v>
                </c:pt>
                <c:pt idx="17">
                  <c:v>425471.85914488934</c:v>
                </c:pt>
                <c:pt idx="18">
                  <c:v>426936.19463428954</c:v>
                </c:pt>
                <c:pt idx="19">
                  <c:v>428405.83833983884</c:v>
                </c:pt>
                <c:pt idx="20">
                  <c:v>429880.80950382078</c:v>
                </c:pt>
                <c:pt idx="21">
                  <c:v>431361.12743827212</c:v>
                </c:pt>
                <c:pt idx="22">
                  <c:v>432846.81152523588</c:v>
                </c:pt>
                <c:pt idx="23">
                  <c:v>434337.88121701486</c:v>
                </c:pt>
                <c:pt idx="24">
                  <c:v>435834.35603642656</c:v>
                </c:pt>
                <c:pt idx="25">
                  <c:v>437336.25557705859</c:v>
                </c:pt>
                <c:pt idx="26">
                  <c:v>438843.59950352542</c:v>
                </c:pt>
                <c:pt idx="27">
                  <c:v>440356.40755172569</c:v>
                </c:pt>
                <c:pt idx="28">
                  <c:v>441874.69952910068</c:v>
                </c:pt>
                <c:pt idx="29">
                  <c:v>443398.49531489366</c:v>
                </c:pt>
                <c:pt idx="30">
                  <c:v>444927.81486041012</c:v>
                </c:pt>
                <c:pt idx="31">
                  <c:v>446462.6781892791</c:v>
                </c:pt>
                <c:pt idx="32">
                  <c:v>448003.10539771523</c:v>
                </c:pt>
                <c:pt idx="33">
                  <c:v>449549.11665478192</c:v>
                </c:pt>
                <c:pt idx="34">
                  <c:v>451100.73220265552</c:v>
                </c:pt>
                <c:pt idx="35">
                  <c:v>452657.97235689015</c:v>
                </c:pt>
              </c:numCache>
            </c:numRef>
          </c:val>
          <c:smooth val="1"/>
          <c:extLst>
            <c:ext xmlns:c16="http://schemas.microsoft.com/office/drawing/2014/chart" uri="{C3380CC4-5D6E-409C-BE32-E72D297353CC}">
              <c16:uniqueId val="{00000002-B93E-4354-AF4B-54DD81653AFD}"/>
            </c:ext>
          </c:extLst>
        </c:ser>
        <c:dLbls>
          <c:showLegendKey val="0"/>
          <c:showVal val="0"/>
          <c:showCatName val="0"/>
          <c:showSerName val="0"/>
          <c:showPercent val="0"/>
          <c:showBubbleSize val="0"/>
        </c:dLbls>
        <c:hiLowLines>
          <c:spPr>
            <a:ln w="0">
              <a:noFill/>
            </a:ln>
          </c:spPr>
        </c:hiLowLines>
        <c:smooth val="0"/>
        <c:axId val="13850319"/>
        <c:axId val="83068450"/>
      </c:lineChart>
      <c:catAx>
        <c:axId val="13850319"/>
        <c:scaling>
          <c:orientation val="minMax"/>
        </c:scaling>
        <c:delete val="0"/>
        <c:axPos val="b"/>
        <c:title>
          <c:tx>
            <c:rich>
              <a:bodyPr rot="0"/>
              <a:lstStyle/>
              <a:p>
                <a:pPr>
                  <a:defRPr lang="en-AU" sz="1000" b="1" strike="noStrike" spc="-1">
                    <a:solidFill>
                      <a:srgbClr val="000000"/>
                    </a:solidFill>
                    <a:latin typeface="Calibri"/>
                  </a:defRPr>
                </a:pPr>
                <a:r>
                  <a:rPr lang="en-AU" sz="1000" b="1" strike="noStrike" spc="-1">
                    <a:solidFill>
                      <a:srgbClr val="000000"/>
                    </a:solidFill>
                    <a:latin typeface="Calibri"/>
                  </a:rPr>
                  <a:t>Age</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83068450"/>
        <c:crosses val="autoZero"/>
        <c:auto val="1"/>
        <c:lblAlgn val="ctr"/>
        <c:lblOffset val="100"/>
        <c:noMultiLvlLbl val="0"/>
      </c:catAx>
      <c:valAx>
        <c:axId val="83068450"/>
        <c:scaling>
          <c:orientation val="minMax"/>
        </c:scaling>
        <c:delete val="0"/>
        <c:axPos val="l"/>
        <c:majorGridlines>
          <c:spPr>
            <a:ln w="0">
              <a:solidFill>
                <a:srgbClr val="B3B3B3"/>
              </a:solidFill>
            </a:ln>
          </c:spPr>
        </c:majorGridlines>
        <c:title>
          <c:tx>
            <c:rich>
              <a:bodyPr rot="-5400000"/>
              <a:lstStyle/>
              <a:p>
                <a:pPr>
                  <a:defRPr lang="en-AU" sz="1000" b="1" strike="noStrike" spc="-1">
                    <a:solidFill>
                      <a:srgbClr val="000000"/>
                    </a:solidFill>
                    <a:latin typeface="Calibri"/>
                  </a:defRPr>
                </a:pPr>
                <a:r>
                  <a:rPr lang="en-AU" sz="1000" b="1" strike="noStrike" spc="-1">
                    <a:solidFill>
                      <a:srgbClr val="000000"/>
                    </a:solidFill>
                    <a:latin typeface="Calibri"/>
                  </a:rPr>
                  <a:t>Pension Balance ($)</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13850319"/>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barChart>
        <c:barDir val="col"/>
        <c:grouping val="stacked"/>
        <c:varyColors val="0"/>
        <c:ser>
          <c:idx val="0"/>
          <c:order val="0"/>
          <c:tx>
            <c:strRef>
              <c:f>'Age Pension &amp; Assets Test'!$D$34</c:f>
              <c:strCache>
                <c:ptCount val="1"/>
                <c:pt idx="0">
                  <c:v>$20,000</c:v>
                </c:pt>
              </c:strCache>
            </c:strRef>
          </c:tx>
          <c:spPr>
            <a:solidFill>
              <a:srgbClr val="1F3864"/>
            </a:solidFill>
            <a:ln w="9360">
              <a:solidFill>
                <a:srgbClr val="1F3864"/>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'Age Pension &amp; Assets Test'!$B$35:$B$70</c:f>
              <c:numCache>
                <c:formatCode>0</c:formatCode>
                <c:ptCount val="36"/>
                <c:pt idx="0">
                  <c:v>66</c:v>
                </c:pt>
                <c:pt idx="1">
                  <c:v>67</c:v>
                </c:pt>
                <c:pt idx="2">
                  <c:v>68</c:v>
                </c:pt>
                <c:pt idx="3">
                  <c:v>69</c:v>
                </c:pt>
                <c:pt idx="4">
                  <c:v>70</c:v>
                </c:pt>
                <c:pt idx="5">
                  <c:v>71</c:v>
                </c:pt>
                <c:pt idx="6">
                  <c:v>72</c:v>
                </c:pt>
                <c:pt idx="7">
                  <c:v>73</c:v>
                </c:pt>
                <c:pt idx="8">
                  <c:v>74</c:v>
                </c:pt>
                <c:pt idx="9">
                  <c:v>75</c:v>
                </c:pt>
                <c:pt idx="10">
                  <c:v>76</c:v>
                </c:pt>
                <c:pt idx="11">
                  <c:v>77</c:v>
                </c:pt>
                <c:pt idx="12">
                  <c:v>78</c:v>
                </c:pt>
                <c:pt idx="13">
                  <c:v>79</c:v>
                </c:pt>
                <c:pt idx="14">
                  <c:v>80</c:v>
                </c:pt>
                <c:pt idx="15">
                  <c:v>81</c:v>
                </c:pt>
                <c:pt idx="16">
                  <c:v>82</c:v>
                </c:pt>
                <c:pt idx="17">
                  <c:v>83</c:v>
                </c:pt>
                <c:pt idx="18">
                  <c:v>84</c:v>
                </c:pt>
                <c:pt idx="19">
                  <c:v>85</c:v>
                </c:pt>
                <c:pt idx="20">
                  <c:v>86</c:v>
                </c:pt>
                <c:pt idx="21">
                  <c:v>87</c:v>
                </c:pt>
                <c:pt idx="22">
                  <c:v>88</c:v>
                </c:pt>
                <c:pt idx="23">
                  <c:v>89</c:v>
                </c:pt>
                <c:pt idx="24">
                  <c:v>90</c:v>
                </c:pt>
                <c:pt idx="25">
                  <c:v>91</c:v>
                </c:pt>
                <c:pt idx="26">
                  <c:v>92</c:v>
                </c:pt>
                <c:pt idx="27">
                  <c:v>93</c:v>
                </c:pt>
                <c:pt idx="28">
                  <c:v>94</c:v>
                </c:pt>
                <c:pt idx="29">
                  <c:v>95</c:v>
                </c:pt>
                <c:pt idx="30">
                  <c:v>96</c:v>
                </c:pt>
                <c:pt idx="31">
                  <c:v>97</c:v>
                </c:pt>
                <c:pt idx="32">
                  <c:v>98</c:v>
                </c:pt>
                <c:pt idx="33">
                  <c:v>99</c:v>
                </c:pt>
                <c:pt idx="34">
                  <c:v>100</c:v>
                </c:pt>
              </c:numCache>
            </c:numRef>
          </c:cat>
          <c:val>
            <c:numRef>
              <c:f>'Age Pension &amp; Assets Test'!$D$35:$D$70</c:f>
              <c:numCache>
                <c:formatCode>\$#,##0;"($"#,##0\);\-</c:formatCode>
                <c:ptCount val="36"/>
                <c:pt idx="0">
                  <c:v>20068.600000000002</c:v>
                </c:pt>
                <c:pt idx="1">
                  <c:v>20137.448675000003</c:v>
                </c:pt>
                <c:pt idx="2">
                  <c:v>20206.546926446877</c:v>
                </c:pt>
                <c:pt idx="3">
                  <c:v>20275.895659055244</c:v>
                </c:pt>
                <c:pt idx="4">
                  <c:v>20345.495780819318</c:v>
                </c:pt>
                <c:pt idx="5">
                  <c:v>20415.348203024787</c:v>
                </c:pt>
                <c:pt idx="6">
                  <c:v>20485.453840260754</c:v>
                </c:pt>
                <c:pt idx="7">
                  <c:v>20555.813610431698</c:v>
                </c:pt>
                <c:pt idx="8">
                  <c:v>20626.428434769514</c:v>
                </c:pt>
                <c:pt idx="9">
                  <c:v>24836.759085414662</c:v>
                </c:pt>
                <c:pt idx="10">
                  <c:v>24666.914637496659</c:v>
                </c:pt>
                <c:pt idx="11">
                  <c:v>24498.199655157303</c:v>
                </c:pt>
                <c:pt idx="12">
                  <c:v>24330.60662745051</c:v>
                </c:pt>
                <c:pt idx="13">
                  <c:v>24164.128093377967</c:v>
                </c:pt>
                <c:pt idx="14">
                  <c:v>27998.549415149842</c:v>
                </c:pt>
                <c:pt idx="15">
                  <c:v>27519.21396629843</c:v>
                </c:pt>
                <c:pt idx="16">
                  <c:v>27047.991269918828</c:v>
                </c:pt>
                <c:pt idx="17">
                  <c:v>26584.744017675454</c:v>
                </c:pt>
                <c:pt idx="18">
                  <c:v>26129.337225176296</c:v>
                </c:pt>
                <c:pt idx="19">
                  <c:v>33019.249104823095</c:v>
                </c:pt>
                <c:pt idx="20">
                  <c:v>31774.832744619853</c:v>
                </c:pt>
                <c:pt idx="21">
                  <c:v>30577.050887515223</c:v>
                </c:pt>
                <c:pt idx="22">
                  <c:v>29424.155905505591</c:v>
                </c:pt>
                <c:pt idx="23">
                  <c:v>28314.465662946768</c:v>
                </c:pt>
                <c:pt idx="24">
                  <c:v>33301.107964945135</c:v>
                </c:pt>
                <c:pt idx="25">
                  <c:v>31360.23117527919</c:v>
                </c:pt>
                <c:pt idx="26">
                  <c:v>29531.973761333615</c:v>
                </c:pt>
                <c:pt idx="27">
                  <c:v>27809.800983832232</c:v>
                </c:pt>
                <c:pt idx="28">
                  <c:v>26187.557281745365</c:v>
                </c:pt>
                <c:pt idx="29">
                  <c:v>31384.747253328118</c:v>
                </c:pt>
                <c:pt idx="30">
                  <c:v>28585.29245986991</c:v>
                </c:pt>
                <c:pt idx="31">
                  <c:v>26034.569224810471</c:v>
                </c:pt>
                <c:pt idx="32">
                  <c:v>23710.477749186059</c:v>
                </c:pt>
                <c:pt idx="33">
                  <c:v>21592.881801170879</c:v>
                </c:pt>
                <c:pt idx="34">
                  <c:v>19663.434253136846</c:v>
                </c:pt>
                <c:pt idx="35">
                  <c:v>893165.3033369726</c:v>
                </c:pt>
              </c:numCache>
            </c:numRef>
          </c:val>
          <c:extLst>
            <c:ext xmlns:c16="http://schemas.microsoft.com/office/drawing/2014/chart" uri="{C3380CC4-5D6E-409C-BE32-E72D297353CC}">
              <c16:uniqueId val="{00000000-E744-4E16-A3D6-5C89425F0186}"/>
            </c:ext>
          </c:extLst>
        </c:ser>
        <c:ser>
          <c:idx val="1"/>
          <c:order val="1"/>
          <c:tx>
            <c:strRef>
              <c:f>'Age Pension &amp; Assets Test'!$I$34</c:f>
              <c:strCache>
                <c:ptCount val="1"/>
                <c:pt idx="0">
                  <c:v>$21,699</c:v>
                </c:pt>
              </c:strCache>
            </c:strRef>
          </c:tx>
          <c:spPr>
            <a:solidFill>
              <a:srgbClr val="70AD47"/>
            </a:solidFill>
            <a:ln w="9360">
              <a:solidFill>
                <a:srgbClr val="70AD47"/>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'Age Pension &amp; Assets Test'!$B$35:$B$70</c:f>
              <c:numCache>
                <c:formatCode>0</c:formatCode>
                <c:ptCount val="36"/>
                <c:pt idx="0">
                  <c:v>66</c:v>
                </c:pt>
                <c:pt idx="1">
                  <c:v>67</c:v>
                </c:pt>
                <c:pt idx="2">
                  <c:v>68</c:v>
                </c:pt>
                <c:pt idx="3">
                  <c:v>69</c:v>
                </c:pt>
                <c:pt idx="4">
                  <c:v>70</c:v>
                </c:pt>
                <c:pt idx="5">
                  <c:v>71</c:v>
                </c:pt>
                <c:pt idx="6">
                  <c:v>72</c:v>
                </c:pt>
                <c:pt idx="7">
                  <c:v>73</c:v>
                </c:pt>
                <c:pt idx="8">
                  <c:v>74</c:v>
                </c:pt>
                <c:pt idx="9">
                  <c:v>75</c:v>
                </c:pt>
                <c:pt idx="10">
                  <c:v>76</c:v>
                </c:pt>
                <c:pt idx="11">
                  <c:v>77</c:v>
                </c:pt>
                <c:pt idx="12">
                  <c:v>78</c:v>
                </c:pt>
                <c:pt idx="13">
                  <c:v>79</c:v>
                </c:pt>
                <c:pt idx="14">
                  <c:v>80</c:v>
                </c:pt>
                <c:pt idx="15">
                  <c:v>81</c:v>
                </c:pt>
                <c:pt idx="16">
                  <c:v>82</c:v>
                </c:pt>
                <c:pt idx="17">
                  <c:v>83</c:v>
                </c:pt>
                <c:pt idx="18">
                  <c:v>84</c:v>
                </c:pt>
                <c:pt idx="19">
                  <c:v>85</c:v>
                </c:pt>
                <c:pt idx="20">
                  <c:v>86</c:v>
                </c:pt>
                <c:pt idx="21">
                  <c:v>87</c:v>
                </c:pt>
                <c:pt idx="22">
                  <c:v>88</c:v>
                </c:pt>
                <c:pt idx="23">
                  <c:v>89</c:v>
                </c:pt>
                <c:pt idx="24">
                  <c:v>90</c:v>
                </c:pt>
                <c:pt idx="25">
                  <c:v>91</c:v>
                </c:pt>
                <c:pt idx="26">
                  <c:v>92</c:v>
                </c:pt>
                <c:pt idx="27">
                  <c:v>93</c:v>
                </c:pt>
                <c:pt idx="28">
                  <c:v>94</c:v>
                </c:pt>
                <c:pt idx="29">
                  <c:v>95</c:v>
                </c:pt>
                <c:pt idx="30">
                  <c:v>96</c:v>
                </c:pt>
                <c:pt idx="31">
                  <c:v>97</c:v>
                </c:pt>
                <c:pt idx="32">
                  <c:v>98</c:v>
                </c:pt>
                <c:pt idx="33">
                  <c:v>99</c:v>
                </c:pt>
                <c:pt idx="34">
                  <c:v>100</c:v>
                </c:pt>
              </c:numCache>
            </c:numRef>
          </c:cat>
          <c:val>
            <c:numRef>
              <c:f>'Age Pension &amp; Assets Test'!$I$35:$I$70</c:f>
              <c:numCache>
                <c:formatCode>\$#,##0;"($"#,##0\);\-</c:formatCode>
                <c:ptCount val="36"/>
                <c:pt idx="0">
                  <c:v>21591.580066999999</c:v>
                </c:pt>
                <c:pt idx="1">
                  <c:v>21483.786794742875</c:v>
                </c:pt>
                <c:pt idx="2">
                  <c:v>21375.602771873819</c:v>
                </c:pt>
                <c:pt idx="3">
                  <c:v>21267.026581921866</c:v>
                </c:pt>
                <c:pt idx="4">
                  <c:v>21158.056803281332</c:v>
                </c:pt>
                <c:pt idx="5">
                  <c:v>21048.692009193226</c:v>
                </c:pt>
                <c:pt idx="6">
                  <c:v>20938.930767726553</c:v>
                </c:pt>
                <c:pt idx="7">
                  <c:v>20828.771641759558</c:v>
                </c:pt>
                <c:pt idx="8">
                  <c:v>20718.213188960937</c:v>
                </c:pt>
                <c:pt idx="9">
                  <c:v>20939.010971254345</c:v>
                </c:pt>
                <c:pt idx="10">
                  <c:v>21158.340448295501</c:v>
                </c:pt>
                <c:pt idx="11">
                  <c:v>21376.211384314334</c:v>
                </c:pt>
                <c:pt idx="12">
                  <c:v>21592.633478608641</c:v>
                </c:pt>
                <c:pt idx="13">
                  <c:v>21807.616365975893</c:v>
                </c:pt>
                <c:pt idx="14">
                  <c:v>22341.733008981751</c:v>
                </c:pt>
                <c:pt idx="15">
                  <c:v>22866.809727804735</c:v>
                </c:pt>
                <c:pt idx="16">
                  <c:v>23382.999523161641</c:v>
                </c:pt>
                <c:pt idx="17">
                  <c:v>23890.45280623213</c:v>
                </c:pt>
                <c:pt idx="18">
                  <c:v>24389.317442486648</c:v>
                </c:pt>
                <c:pt idx="19">
                  <c:v>25467.81162132946</c:v>
                </c:pt>
                <c:pt idx="20">
                  <c:v>26505.889230820139</c:v>
                </c:pt>
                <c:pt idx="21">
                  <c:v>27505.064881895152</c:v>
                </c:pt>
                <c:pt idx="22">
                  <c:v>28356.691792131653</c:v>
                </c:pt>
                <c:pt idx="23">
                  <c:v>28490.204867221521</c:v>
                </c:pt>
                <c:pt idx="24">
                  <c:v>28514</c:v>
                </c:pt>
                <c:pt idx="25">
                  <c:v>28514</c:v>
                </c:pt>
                <c:pt idx="26">
                  <c:v>28514</c:v>
                </c:pt>
                <c:pt idx="27">
                  <c:v>28514</c:v>
                </c:pt>
                <c:pt idx="28">
                  <c:v>28514</c:v>
                </c:pt>
                <c:pt idx="29">
                  <c:v>28514</c:v>
                </c:pt>
                <c:pt idx="30">
                  <c:v>28514</c:v>
                </c:pt>
                <c:pt idx="31">
                  <c:v>28514</c:v>
                </c:pt>
                <c:pt idx="32">
                  <c:v>28514</c:v>
                </c:pt>
                <c:pt idx="33">
                  <c:v>28514</c:v>
                </c:pt>
                <c:pt idx="34">
                  <c:v>28514</c:v>
                </c:pt>
                <c:pt idx="35">
                  <c:v>864135.44817697362</c:v>
                </c:pt>
              </c:numCache>
            </c:numRef>
          </c:val>
          <c:extLst>
            <c:ext xmlns:c16="http://schemas.microsoft.com/office/drawing/2014/chart" uri="{C3380CC4-5D6E-409C-BE32-E72D297353CC}">
              <c16:uniqueId val="{00000001-E744-4E16-A3D6-5C89425F0186}"/>
            </c:ext>
          </c:extLst>
        </c:ser>
        <c:dLbls>
          <c:showLegendKey val="0"/>
          <c:showVal val="0"/>
          <c:showCatName val="0"/>
          <c:showSerName val="0"/>
          <c:showPercent val="0"/>
          <c:showBubbleSize val="0"/>
        </c:dLbls>
        <c:gapWidth val="150"/>
        <c:overlap val="100"/>
        <c:axId val="464066"/>
        <c:axId val="75439949"/>
      </c:barChart>
      <c:catAx>
        <c:axId val="464066"/>
        <c:scaling>
          <c:orientation val="minMax"/>
        </c:scaling>
        <c:delete val="0"/>
        <c:axPos val="b"/>
        <c:title>
          <c:tx>
            <c:rich>
              <a:bodyPr rot="0"/>
              <a:lstStyle/>
              <a:p>
                <a:pPr>
                  <a:defRPr lang="en-AU" sz="1000" b="1" strike="noStrike" spc="-1">
                    <a:solidFill>
                      <a:srgbClr val="000000"/>
                    </a:solidFill>
                    <a:latin typeface="Calibri"/>
                  </a:defRPr>
                </a:pPr>
                <a:r>
                  <a:rPr lang="en-AU" sz="1000" b="1" strike="noStrike" spc="-1">
                    <a:solidFill>
                      <a:srgbClr val="000000"/>
                    </a:solidFill>
                    <a:latin typeface="Calibri"/>
                  </a:rPr>
                  <a:t>Age</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75439949"/>
        <c:crosses val="autoZero"/>
        <c:auto val="1"/>
        <c:lblAlgn val="ctr"/>
        <c:lblOffset val="100"/>
        <c:noMultiLvlLbl val="0"/>
      </c:catAx>
      <c:valAx>
        <c:axId val="75439949"/>
        <c:scaling>
          <c:orientation val="minMax"/>
        </c:scaling>
        <c:delete val="0"/>
        <c:axPos val="l"/>
        <c:majorGridlines>
          <c:spPr>
            <a:ln w="0">
              <a:solidFill>
                <a:srgbClr val="B3B3B3"/>
              </a:solidFill>
            </a:ln>
          </c:spPr>
        </c:majorGridlines>
        <c:title>
          <c:tx>
            <c:rich>
              <a:bodyPr rot="-5400000"/>
              <a:lstStyle/>
              <a:p>
                <a:pPr>
                  <a:defRPr lang="en-AU" sz="1000" b="1" strike="noStrike" spc="-1">
                    <a:solidFill>
                      <a:srgbClr val="000000"/>
                    </a:solidFill>
                    <a:latin typeface="Calibri"/>
                  </a:defRPr>
                </a:pPr>
                <a:r>
                  <a:rPr lang="en-AU" sz="1000" b="1" strike="noStrike" spc="-1">
                    <a:solidFill>
                      <a:srgbClr val="000000"/>
                    </a:solidFill>
                    <a:latin typeface="Calibri"/>
                  </a:rPr>
                  <a:t>Annual Income ($)</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464066"/>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barChart>
        <c:barDir val="col"/>
        <c:grouping val="clustered"/>
        <c:varyColors val="0"/>
        <c:ser>
          <c:idx val="0"/>
          <c:order val="0"/>
          <c:tx>
            <c:v>Net Annual Tax Saving ($)</c:v>
          </c:tx>
          <c:spPr>
            <a:solidFill>
              <a:srgbClr val="2E75B6"/>
            </a:solidFill>
            <a:ln w="9360">
              <a:solidFill>
                <a:srgbClr val="2E75B6"/>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'Super Tax Calculator'!$C$29:$F$29</c:f>
              <c:strCache>
                <c:ptCount val="4"/>
                <c:pt idx="0">
                  <c:v>$60,000 income
(MTR 34%)</c:v>
                </c:pt>
                <c:pt idx="1">
                  <c:v>$95,000 income
(MTR 34%)</c:v>
                </c:pt>
                <c:pt idx="2">
                  <c:v>$160,000 income
(MTR 41%)</c:v>
                </c:pt>
                <c:pt idx="3">
                  <c:v>$300,000+ income
(MTR 47% + Div293)</c:v>
                </c:pt>
              </c:strCache>
            </c:strRef>
          </c:cat>
          <c:val>
            <c:numRef>
              <c:f>'Super Tax Calculator'!$C$34:$F$34</c:f>
              <c:numCache>
                <c:formatCode>\$#,##0;"($"#,##0\);\-</c:formatCode>
                <c:ptCount val="4"/>
                <c:pt idx="0">
                  <c:v>5700</c:v>
                </c:pt>
                <c:pt idx="1">
                  <c:v>5700</c:v>
                </c:pt>
                <c:pt idx="2">
                  <c:v>7800</c:v>
                </c:pt>
                <c:pt idx="3">
                  <c:v>5100</c:v>
                </c:pt>
              </c:numCache>
            </c:numRef>
          </c:val>
          <c:extLst>
            <c:ext xmlns:c16="http://schemas.microsoft.com/office/drawing/2014/chart" uri="{C3380CC4-5D6E-409C-BE32-E72D297353CC}">
              <c16:uniqueId val="{00000000-37F5-4334-A696-95A730CEFC5E}"/>
            </c:ext>
          </c:extLst>
        </c:ser>
        <c:ser>
          <c:idx val="1"/>
          <c:order val="1"/>
          <c:tx>
            <c:v>Div 293 Cost ($)</c:v>
          </c:tx>
          <c:spPr>
            <a:solidFill>
              <a:srgbClr val="C00000"/>
            </a:solidFill>
            <a:ln w="9360">
              <a:solidFill>
                <a:srgbClr val="C00000"/>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'Super Tax Calculator'!$C$29:$F$29</c:f>
              <c:strCache>
                <c:ptCount val="4"/>
                <c:pt idx="0">
                  <c:v>$60,000 income
(MTR 34%)</c:v>
                </c:pt>
                <c:pt idx="1">
                  <c:v>$95,000 income
(MTR 34%)</c:v>
                </c:pt>
                <c:pt idx="2">
                  <c:v>$160,000 income
(MTR 41%)</c:v>
                </c:pt>
                <c:pt idx="3">
                  <c:v>$300,000+ income
(MTR 47% + Div293)</c:v>
                </c:pt>
              </c:strCache>
            </c:strRef>
          </c:cat>
          <c:val>
            <c:numRef>
              <c:f>'Super Tax Calculator'!$C$33:$F$33</c:f>
              <c:numCache>
                <c:formatCode>\$#,##0;"($"#,##0\);\-</c:formatCode>
                <c:ptCount val="4"/>
                <c:pt idx="0">
                  <c:v>0</c:v>
                </c:pt>
                <c:pt idx="1">
                  <c:v>0</c:v>
                </c:pt>
                <c:pt idx="2">
                  <c:v>0</c:v>
                </c:pt>
                <c:pt idx="3">
                  <c:v>4500</c:v>
                </c:pt>
              </c:numCache>
            </c:numRef>
          </c:val>
          <c:extLst>
            <c:ext xmlns:c16="http://schemas.microsoft.com/office/drawing/2014/chart" uri="{C3380CC4-5D6E-409C-BE32-E72D297353CC}">
              <c16:uniqueId val="{00000001-37F5-4334-A696-95A730CEFC5E}"/>
            </c:ext>
          </c:extLst>
        </c:ser>
        <c:dLbls>
          <c:showLegendKey val="0"/>
          <c:showVal val="0"/>
          <c:showCatName val="0"/>
          <c:showSerName val="0"/>
          <c:showPercent val="0"/>
          <c:showBubbleSize val="0"/>
        </c:dLbls>
        <c:gapWidth val="150"/>
        <c:axId val="58522835"/>
        <c:axId val="12214959"/>
      </c:barChart>
      <c:catAx>
        <c:axId val="58522835"/>
        <c:scaling>
          <c:orientation val="minMax"/>
        </c:scaling>
        <c:delete val="0"/>
        <c:axPos val="b"/>
        <c:numFmt formatCode="General"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12214959"/>
        <c:crosses val="autoZero"/>
        <c:auto val="1"/>
        <c:lblAlgn val="ctr"/>
        <c:lblOffset val="100"/>
        <c:noMultiLvlLbl val="0"/>
      </c:catAx>
      <c:valAx>
        <c:axId val="12214959"/>
        <c:scaling>
          <c:orientation val="minMax"/>
        </c:scaling>
        <c:delete val="0"/>
        <c:axPos val="l"/>
        <c:majorGridlines>
          <c:spPr>
            <a:ln w="0">
              <a:solidFill>
                <a:srgbClr val="B3B3B3"/>
              </a:solidFill>
            </a:ln>
          </c:spPr>
        </c:majorGridlines>
        <c:title>
          <c:tx>
            <c:rich>
              <a:bodyPr rot="-5400000"/>
              <a:lstStyle/>
              <a:p>
                <a:pPr>
                  <a:defRPr lang="en-AU" sz="1000" b="1" strike="noStrike" spc="-1">
                    <a:solidFill>
                      <a:srgbClr val="000000"/>
                    </a:solidFill>
                    <a:latin typeface="Calibri"/>
                  </a:defRPr>
                </a:pPr>
                <a:r>
                  <a:rPr lang="en-AU" sz="1000" b="1" strike="noStrike" spc="-1">
                    <a:solidFill>
                      <a:srgbClr val="000000"/>
                    </a:solidFill>
                    <a:latin typeface="Calibri"/>
                  </a:rPr>
                  <a:t>Annual Tax ($)</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58522835"/>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barChart>
        <c:barDir val="col"/>
        <c:grouping val="clustered"/>
        <c:varyColors val="0"/>
        <c:ser>
          <c:idx val="0"/>
          <c:order val="0"/>
          <c:tx>
            <c:v>Tax Withheld ($)</c:v>
          </c:tx>
          <c:spPr>
            <a:solidFill>
              <a:srgbClr val="C00000"/>
            </a:solidFill>
            <a:ln w="9360">
              <a:solidFill>
                <a:srgbClr val="C00000"/>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'Death Benefits &amp; Estate'!$C$53:$F$53</c:f>
              <c:strCache>
                <c:ptCount val="4"/>
                <c:pt idx="0">
                  <c:v>Spouse</c:v>
                </c:pt>
                <c:pt idx="1">
                  <c:v>Child&lt;18</c:v>
                </c:pt>
                <c:pt idx="2">
                  <c:v>Adult Child</c:v>
                </c:pt>
                <c:pt idx="3">
                  <c:v>Estate→Adult</c:v>
                </c:pt>
              </c:strCache>
            </c:strRef>
          </c:cat>
          <c:val>
            <c:numRef>
              <c:f>'Death Benefits &amp; Estate'!$C$54:$F$54</c:f>
              <c:numCache>
                <c:formatCode>\$#,##0;"($"#,##0\);\-</c:formatCode>
                <c:ptCount val="4"/>
                <c:pt idx="0">
                  <c:v>0</c:v>
                </c:pt>
                <c:pt idx="1">
                  <c:v>0</c:v>
                </c:pt>
                <c:pt idx="2">
                  <c:v>59500</c:v>
                </c:pt>
                <c:pt idx="3">
                  <c:v>59500</c:v>
                </c:pt>
              </c:numCache>
            </c:numRef>
          </c:val>
          <c:extLst>
            <c:ext xmlns:c16="http://schemas.microsoft.com/office/drawing/2014/chart" uri="{C3380CC4-5D6E-409C-BE32-E72D297353CC}">
              <c16:uniqueId val="{00000000-34B1-45B1-8923-D2B73AF054BB}"/>
            </c:ext>
          </c:extLst>
        </c:ser>
        <c:ser>
          <c:idx val="1"/>
          <c:order val="1"/>
          <c:tx>
            <c:v>Net Benefit Received ($)</c:v>
          </c:tx>
          <c:spPr>
            <a:solidFill>
              <a:srgbClr val="2E7D32"/>
            </a:solidFill>
            <a:ln w="9360">
              <a:solidFill>
                <a:srgbClr val="2E7D32"/>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'Death Benefits &amp; Estate'!$C$53:$F$53</c:f>
              <c:strCache>
                <c:ptCount val="4"/>
                <c:pt idx="0">
                  <c:v>Spouse</c:v>
                </c:pt>
                <c:pt idx="1">
                  <c:v>Child&lt;18</c:v>
                </c:pt>
                <c:pt idx="2">
                  <c:v>Adult Child</c:v>
                </c:pt>
                <c:pt idx="3">
                  <c:v>Estate→Adult</c:v>
                </c:pt>
              </c:strCache>
            </c:strRef>
          </c:cat>
          <c:val>
            <c:numRef>
              <c:f>'Death Benefits &amp; Estate'!$C$55:$F$55</c:f>
              <c:numCache>
                <c:formatCode>\$#,##0;"($"#,##0\);\-</c:formatCode>
                <c:ptCount val="4"/>
                <c:pt idx="0">
                  <c:v>500000</c:v>
                </c:pt>
                <c:pt idx="1">
                  <c:v>500000</c:v>
                </c:pt>
                <c:pt idx="2">
                  <c:v>440500</c:v>
                </c:pt>
                <c:pt idx="3">
                  <c:v>440500</c:v>
                </c:pt>
              </c:numCache>
            </c:numRef>
          </c:val>
          <c:extLst>
            <c:ext xmlns:c16="http://schemas.microsoft.com/office/drawing/2014/chart" uri="{C3380CC4-5D6E-409C-BE32-E72D297353CC}">
              <c16:uniqueId val="{00000001-34B1-45B1-8923-D2B73AF054BB}"/>
            </c:ext>
          </c:extLst>
        </c:ser>
        <c:dLbls>
          <c:showLegendKey val="0"/>
          <c:showVal val="0"/>
          <c:showCatName val="0"/>
          <c:showSerName val="0"/>
          <c:showPercent val="0"/>
          <c:showBubbleSize val="0"/>
        </c:dLbls>
        <c:gapWidth val="150"/>
        <c:axId val="66335143"/>
        <c:axId val="38453764"/>
      </c:barChart>
      <c:catAx>
        <c:axId val="66335143"/>
        <c:scaling>
          <c:orientation val="minMax"/>
        </c:scaling>
        <c:delete val="0"/>
        <c:axPos val="b"/>
        <c:title>
          <c:tx>
            <c:rich>
              <a:bodyPr rot="0"/>
              <a:lstStyle/>
              <a:p>
                <a:pPr>
                  <a:defRPr lang="en-AU" sz="1000" b="1" strike="noStrike" spc="-1">
                    <a:solidFill>
                      <a:srgbClr val="000000"/>
                    </a:solidFill>
                    <a:latin typeface="Calibri"/>
                  </a:defRPr>
                </a:pPr>
                <a:r>
                  <a:rPr lang="en-AU" sz="1000" b="1" strike="noStrike" spc="-1">
                    <a:solidFill>
                      <a:srgbClr val="000000"/>
                    </a:solidFill>
                    <a:latin typeface="Calibri"/>
                  </a:rPr>
                  <a:t>Recipient Type</a:t>
                </a:r>
              </a:p>
            </c:rich>
          </c:tx>
          <c:overlay val="0"/>
          <c:spPr>
            <a:noFill/>
            <a:ln w="0">
              <a:noFill/>
            </a:ln>
          </c:spPr>
        </c:title>
        <c:numFmt formatCode="General"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38453764"/>
        <c:crosses val="autoZero"/>
        <c:auto val="1"/>
        <c:lblAlgn val="ctr"/>
        <c:lblOffset val="100"/>
        <c:noMultiLvlLbl val="0"/>
      </c:catAx>
      <c:valAx>
        <c:axId val="38453764"/>
        <c:scaling>
          <c:orientation val="minMax"/>
        </c:scaling>
        <c:delete val="0"/>
        <c:axPos val="l"/>
        <c:majorGridlines>
          <c:spPr>
            <a:ln w="0">
              <a:solidFill>
                <a:srgbClr val="B3B3B3"/>
              </a:solidFill>
            </a:ln>
          </c:spPr>
        </c:majorGridlines>
        <c:title>
          <c:tx>
            <c:rich>
              <a:bodyPr rot="-5400000"/>
              <a:lstStyle/>
              <a:p>
                <a:pPr>
                  <a:defRPr lang="en-AU" sz="1000" b="1" strike="noStrike" spc="-1">
                    <a:solidFill>
                      <a:srgbClr val="000000"/>
                    </a:solidFill>
                    <a:latin typeface="Calibri"/>
                  </a:defRPr>
                </a:pPr>
                <a:r>
                  <a:rPr lang="en-AU" sz="1000" b="1" strike="noStrike" spc="-1">
                    <a:solidFill>
                      <a:srgbClr val="000000"/>
                    </a:solidFill>
                    <a:latin typeface="Calibri"/>
                  </a:rPr>
                  <a:t>Amount ($)</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66335143"/>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10</xdr:col>
      <xdr:colOff>440640</xdr:colOff>
      <xdr:row>29</xdr:row>
      <xdr:rowOff>119160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0</xdr:colOff>
      <xdr:row>7</xdr:row>
      <xdr:rowOff>0</xdr:rowOff>
    </xdr:from>
    <xdr:to>
      <xdr:col>21</xdr:col>
      <xdr:colOff>440640</xdr:colOff>
      <xdr:row>29</xdr:row>
      <xdr:rowOff>119160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30</xdr:row>
      <xdr:rowOff>0</xdr:rowOff>
    </xdr:from>
    <xdr:to>
      <xdr:col>10</xdr:col>
      <xdr:colOff>440640</xdr:colOff>
      <xdr:row>52</xdr:row>
      <xdr:rowOff>118800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0</xdr:colOff>
      <xdr:row>30</xdr:row>
      <xdr:rowOff>0</xdr:rowOff>
    </xdr:from>
    <xdr:to>
      <xdr:col>21</xdr:col>
      <xdr:colOff>440640</xdr:colOff>
      <xdr:row>52</xdr:row>
      <xdr:rowOff>118800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0</xdr:colOff>
      <xdr:row>37</xdr:row>
      <xdr:rowOff>0</xdr:rowOff>
    </xdr:from>
    <xdr:to>
      <xdr:col>18</xdr:col>
      <xdr:colOff>923040</xdr:colOff>
      <xdr:row>55</xdr:row>
      <xdr:rowOff>191880</xdr:rowOff>
    </xdr:to>
    <xdr:graphicFrame macro="">
      <xdr:nvGraphicFramePr>
        <xdr:cNvPr id="12" name="Chart 1">
          <a:extLst>
            <a:ext uri="{FF2B5EF4-FFF2-40B4-BE49-F238E27FC236}">
              <a16:creationId xmlns:a16="http://schemas.microsoft.com/office/drawing/2014/main" id="{00000000-0008-0000-0E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38</xdr:row>
      <xdr:rowOff>0</xdr:rowOff>
    </xdr:from>
    <xdr:to>
      <xdr:col>7</xdr:col>
      <xdr:colOff>1573920</xdr:colOff>
      <xdr:row>62</xdr:row>
      <xdr:rowOff>122760</xdr:rowOff>
    </xdr:to>
    <xdr:graphicFrame macro="">
      <xdr:nvGraphicFramePr>
        <xdr:cNvPr id="13" name="Chart 1">
          <a:extLst>
            <a:ext uri="{FF2B5EF4-FFF2-40B4-BE49-F238E27FC236}">
              <a16:creationId xmlns:a16="http://schemas.microsoft.com/office/drawing/2014/main" id="{00000000-0008-0000-0F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7</xdr:col>
      <xdr:colOff>1575000</xdr:colOff>
      <xdr:row>70</xdr:row>
      <xdr:rowOff>9360</xdr:rowOff>
    </xdr:to>
    <xdr:graphicFrame macro="">
      <xdr:nvGraphicFramePr>
        <xdr:cNvPr id="14" name="Chart 1">
          <a:extLst>
            <a:ext uri="{FF2B5EF4-FFF2-40B4-BE49-F238E27FC236}">
              <a16:creationId xmlns:a16="http://schemas.microsoft.com/office/drawing/2014/main" id="{00000000-0008-0000-1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55</xdr:row>
      <xdr:rowOff>0</xdr:rowOff>
    </xdr:from>
    <xdr:to>
      <xdr:col>14</xdr:col>
      <xdr:colOff>637920</xdr:colOff>
      <xdr:row>80</xdr:row>
      <xdr:rowOff>3960</xdr:rowOff>
    </xdr:to>
    <xdr:graphicFrame macro="">
      <xdr:nvGraphicFramePr>
        <xdr:cNvPr id="4" name="Chart 1">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63</xdr:row>
      <xdr:rowOff>0</xdr:rowOff>
    </xdr:from>
    <xdr:to>
      <xdr:col>15</xdr:col>
      <xdr:colOff>21240</xdr:colOff>
      <xdr:row>91</xdr:row>
      <xdr:rowOff>101880</xdr:rowOff>
    </xdr:to>
    <xdr:graphicFrame macro="">
      <xdr:nvGraphicFramePr>
        <xdr:cNvPr id="5" name="Chart 1">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72</xdr:row>
      <xdr:rowOff>0</xdr:rowOff>
    </xdr:from>
    <xdr:to>
      <xdr:col>13</xdr:col>
      <xdr:colOff>983160</xdr:colOff>
      <xdr:row>100</xdr:row>
      <xdr:rowOff>149760</xdr:rowOff>
    </xdr:to>
    <xdr:graphicFrame macro="">
      <xdr:nvGraphicFramePr>
        <xdr:cNvPr id="6" name="Chart 1">
          <a:extLst>
            <a:ext uri="{FF2B5EF4-FFF2-40B4-BE49-F238E27FC236}">
              <a16:creationId xmlns:a16="http://schemas.microsoft.com/office/drawing/2014/main" id="{00000000-0008-0000-08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43</xdr:row>
      <xdr:rowOff>0</xdr:rowOff>
    </xdr:from>
    <xdr:to>
      <xdr:col>8</xdr:col>
      <xdr:colOff>581400</xdr:colOff>
      <xdr:row>69</xdr:row>
      <xdr:rowOff>78480</xdr:rowOff>
    </xdr:to>
    <xdr:graphicFrame macro="">
      <xdr:nvGraphicFramePr>
        <xdr:cNvPr id="7" name="Chart 1">
          <a:extLst>
            <a:ext uri="{FF2B5EF4-FFF2-40B4-BE49-F238E27FC236}">
              <a16:creationId xmlns:a16="http://schemas.microsoft.com/office/drawing/2014/main" id="{00000000-0008-0000-0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52</xdr:row>
      <xdr:rowOff>0</xdr:rowOff>
    </xdr:from>
    <xdr:to>
      <xdr:col>7</xdr:col>
      <xdr:colOff>1288800</xdr:colOff>
      <xdr:row>77</xdr:row>
      <xdr:rowOff>5040</xdr:rowOff>
    </xdr:to>
    <xdr:graphicFrame macro="">
      <xdr:nvGraphicFramePr>
        <xdr:cNvPr id="8" name="Chart 1">
          <a:extLst>
            <a:ext uri="{FF2B5EF4-FFF2-40B4-BE49-F238E27FC236}">
              <a16:creationId xmlns:a16="http://schemas.microsoft.com/office/drawing/2014/main" id="{00000000-0008-0000-0A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48</xdr:row>
      <xdr:rowOff>0</xdr:rowOff>
    </xdr:from>
    <xdr:to>
      <xdr:col>8</xdr:col>
      <xdr:colOff>176400</xdr:colOff>
      <xdr:row>71</xdr:row>
      <xdr:rowOff>129240</xdr:rowOff>
    </xdr:to>
    <xdr:graphicFrame macro="">
      <xdr:nvGraphicFramePr>
        <xdr:cNvPr id="9" name="Chart 1">
          <a:extLst>
            <a:ext uri="{FF2B5EF4-FFF2-40B4-BE49-F238E27FC236}">
              <a16:creationId xmlns:a16="http://schemas.microsoft.com/office/drawing/2014/main" id="{00000000-0008-0000-0B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7</xdr:col>
      <xdr:colOff>1571760</xdr:colOff>
      <xdr:row>51</xdr:row>
      <xdr:rowOff>6120</xdr:rowOff>
    </xdr:to>
    <xdr:graphicFrame macro="">
      <xdr:nvGraphicFramePr>
        <xdr:cNvPr id="10" name="Chart 1">
          <a:extLst>
            <a:ext uri="{FF2B5EF4-FFF2-40B4-BE49-F238E27FC236}">
              <a16:creationId xmlns:a16="http://schemas.microsoft.com/office/drawing/2014/main" id="{00000000-0008-0000-0C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0</xdr:colOff>
      <xdr:row>62</xdr:row>
      <xdr:rowOff>0</xdr:rowOff>
    </xdr:from>
    <xdr:to>
      <xdr:col>12</xdr:col>
      <xdr:colOff>1924560</xdr:colOff>
      <xdr:row>88</xdr:row>
      <xdr:rowOff>83160</xdr:rowOff>
    </xdr:to>
    <xdr:graphicFrame macro="">
      <xdr:nvGraphicFramePr>
        <xdr:cNvPr id="11" name="Chart 1">
          <a:extLst>
            <a:ext uri="{FF2B5EF4-FFF2-40B4-BE49-F238E27FC236}">
              <a16:creationId xmlns:a16="http://schemas.microsoft.com/office/drawing/2014/main" id="{00000000-0008-0000-0D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A8C6B"/>
  </sheetPr>
  <dimension ref="B1:V55"/>
  <sheetViews>
    <sheetView showGridLines="0" topLeftCell="A27" zoomScaleNormal="100" workbookViewId="0"/>
  </sheetViews>
  <sheetFormatPr defaultColWidth="8.6328125" defaultRowHeight="14.5" x14ac:dyDescent="0.35"/>
  <cols>
    <col min="1" max="1" width="2" customWidth="1"/>
    <col min="2" max="22" width="9.54296875" customWidth="1"/>
  </cols>
  <sheetData>
    <row r="1" spans="2:22" ht="49.5" customHeight="1" x14ac:dyDescent="0.35">
      <c r="B1" s="14" t="s">
        <v>0</v>
      </c>
      <c r="C1" s="14"/>
      <c r="D1" s="14"/>
      <c r="E1" s="14"/>
      <c r="F1" s="14"/>
      <c r="G1" s="14"/>
      <c r="H1" s="14"/>
      <c r="I1" s="14"/>
      <c r="J1" s="14"/>
      <c r="K1" s="14"/>
      <c r="L1" s="14"/>
      <c r="M1" s="14"/>
      <c r="N1" s="14"/>
      <c r="O1" s="14"/>
      <c r="P1" s="14"/>
      <c r="Q1" s="14"/>
      <c r="R1" s="14"/>
      <c r="S1" s="14"/>
      <c r="T1" s="14"/>
      <c r="U1" s="14"/>
      <c r="V1" s="14"/>
    </row>
    <row r="2" spans="2:22" ht="18" customHeight="1" x14ac:dyDescent="0.35">
      <c r="B2" s="13" t="s">
        <v>1</v>
      </c>
      <c r="C2" s="13"/>
      <c r="D2" s="13"/>
      <c r="E2" s="13"/>
      <c r="F2" s="13"/>
      <c r="G2" s="13"/>
      <c r="H2" s="13"/>
      <c r="I2" s="13"/>
      <c r="J2" s="13"/>
      <c r="K2" s="13"/>
      <c r="L2" s="13"/>
      <c r="M2" s="13"/>
      <c r="N2" s="13"/>
      <c r="O2" s="13"/>
      <c r="P2" s="13"/>
      <c r="Q2" s="13"/>
      <c r="R2" s="13"/>
      <c r="S2" s="13"/>
      <c r="T2" s="13"/>
      <c r="U2" s="13"/>
      <c r="V2" s="13"/>
    </row>
    <row r="3" spans="2:22" ht="7.5" customHeight="1" x14ac:dyDescent="0.35"/>
    <row r="4" spans="2:22" ht="19.5" customHeight="1" x14ac:dyDescent="0.35">
      <c r="B4" s="12" t="s">
        <v>2</v>
      </c>
      <c r="C4" s="12"/>
      <c r="D4" s="12"/>
      <c r="E4" s="12"/>
      <c r="F4" s="12"/>
      <c r="G4" s="12"/>
      <c r="H4" s="12"/>
      <c r="I4" s="12"/>
      <c r="J4" s="12"/>
      <c r="K4" s="12"/>
      <c r="L4" s="12"/>
      <c r="M4" s="12"/>
      <c r="N4" s="12"/>
      <c r="O4" s="12"/>
      <c r="P4" s="12"/>
      <c r="Q4" s="12"/>
      <c r="R4" s="12"/>
      <c r="S4" s="12"/>
      <c r="T4" s="12"/>
      <c r="U4" s="12"/>
      <c r="V4" s="12"/>
    </row>
    <row r="5" spans="2:22" ht="48" customHeight="1" x14ac:dyDescent="0.35">
      <c r="B5" s="15" t="s">
        <v>3</v>
      </c>
      <c r="C5" s="16">
        <f>Parameters!B6</f>
        <v>100000</v>
      </c>
      <c r="D5" s="15" t="s">
        <v>4</v>
      </c>
      <c r="E5" s="16">
        <f>'30-Year Projection'!P33</f>
        <v>2199286.4863808248</v>
      </c>
      <c r="F5" s="15" t="s">
        <v>5</v>
      </c>
      <c r="G5" s="16">
        <f>'Real Returns'!F33</f>
        <v>1048493.7449994171</v>
      </c>
      <c r="H5" s="15" t="s">
        <v>6</v>
      </c>
      <c r="I5" s="16">
        <f>'30-Year Projection'!I34</f>
        <v>895342.44310318679</v>
      </c>
      <c r="J5" s="15" t="s">
        <v>7</v>
      </c>
      <c r="K5" s="16">
        <f>'30-Year Projection'!J34</f>
        <v>1795064.3750172381</v>
      </c>
      <c r="L5" s="15" t="s">
        <v>8</v>
      </c>
      <c r="M5" s="16">
        <f>'30-Year Projection'!K34+'30-Year Projection'!L34</f>
        <v>390390.21176908218</v>
      </c>
      <c r="N5" s="15" t="s">
        <v>9</v>
      </c>
      <c r="O5" s="16">
        <f>'30-Year Projection'!M34+'30-Year Projection'!N34</f>
        <v>200730.11997051712</v>
      </c>
      <c r="P5" s="15" t="s">
        <v>10</v>
      </c>
      <c r="Q5" s="17">
        <f>Parameters!B20</f>
        <v>7.4999999999999997E-2</v>
      </c>
      <c r="R5" s="15" t="s">
        <v>11</v>
      </c>
      <c r="S5" s="17">
        <f>(1+Parameters!B20)/(1+Parameters!B22)-1</f>
        <v>4.8780487804878092E-2</v>
      </c>
      <c r="T5" s="15" t="s">
        <v>12</v>
      </c>
      <c r="U5" s="18">
        <f>Parameters!B5</f>
        <v>67</v>
      </c>
    </row>
    <row r="6" spans="2:22" ht="7.5" customHeight="1" x14ac:dyDescent="0.35"/>
    <row r="7" spans="2:22" ht="18" customHeight="1" x14ac:dyDescent="0.35">
      <c r="B7" s="11" t="s">
        <v>13</v>
      </c>
      <c r="C7" s="11"/>
      <c r="D7" s="11"/>
      <c r="E7" s="11"/>
      <c r="F7" s="11"/>
      <c r="G7" s="11"/>
      <c r="H7" s="11"/>
      <c r="I7" s="11"/>
      <c r="J7" s="11"/>
      <c r="K7" s="11"/>
      <c r="M7" s="11" t="s">
        <v>14</v>
      </c>
      <c r="N7" s="11"/>
      <c r="O7" s="11"/>
      <c r="P7" s="11"/>
      <c r="Q7" s="11"/>
      <c r="R7" s="11"/>
      <c r="S7" s="11"/>
      <c r="T7" s="11"/>
      <c r="U7" s="11"/>
      <c r="V7" s="11"/>
    </row>
    <row r="30" spans="2:22" ht="18" customHeight="1" x14ac:dyDescent="0.35">
      <c r="B30" s="11" t="s">
        <v>15</v>
      </c>
      <c r="C30" s="11"/>
      <c r="D30" s="11"/>
      <c r="E30" s="11"/>
      <c r="F30" s="11"/>
      <c r="G30" s="11"/>
      <c r="H30" s="11"/>
      <c r="I30" s="11"/>
      <c r="J30" s="11"/>
      <c r="K30" s="11"/>
      <c r="M30" s="11" t="s">
        <v>16</v>
      </c>
      <c r="N30" s="11"/>
      <c r="O30" s="11"/>
      <c r="P30" s="11"/>
      <c r="Q30" s="11"/>
      <c r="R30" s="11"/>
      <c r="S30" s="11"/>
      <c r="T30" s="11"/>
      <c r="U30" s="11"/>
      <c r="V30" s="11"/>
    </row>
    <row r="53" spans="2:22" ht="13.5" customHeight="1" x14ac:dyDescent="0.35"/>
    <row r="54" spans="2:22" ht="13.5" customHeight="1" x14ac:dyDescent="0.35">
      <c r="B54" s="10" t="s">
        <v>17</v>
      </c>
      <c r="C54" s="10"/>
      <c r="D54" s="10"/>
      <c r="E54" s="10"/>
      <c r="F54" s="10"/>
      <c r="G54" s="10"/>
      <c r="H54" s="10"/>
      <c r="I54" s="10"/>
      <c r="J54" s="10"/>
      <c r="K54" s="10"/>
      <c r="L54" s="10"/>
      <c r="M54" s="10"/>
      <c r="N54" s="10"/>
      <c r="O54" s="10"/>
      <c r="P54" s="10"/>
      <c r="Q54" s="10"/>
      <c r="R54" s="10"/>
      <c r="S54" s="10"/>
      <c r="T54" s="10"/>
      <c r="U54" s="10"/>
      <c r="V54" s="10"/>
    </row>
    <row r="55" spans="2:22" ht="13.5" customHeight="1" x14ac:dyDescent="0.35"/>
  </sheetData>
  <mergeCells count="8">
    <mergeCell ref="B30:K30"/>
    <mergeCell ref="M30:V30"/>
    <mergeCell ref="B54:V54"/>
    <mergeCell ref="B1:V1"/>
    <mergeCell ref="B2:V2"/>
    <mergeCell ref="B4:V4"/>
    <mergeCell ref="B7:K7"/>
    <mergeCell ref="M7:V7"/>
  </mergeCells>
  <pageMargins left="0.75" right="0.75" top="1" bottom="1" header="0.511811023622047" footer="0.511811023622047"/>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A8C6B"/>
  </sheetPr>
  <dimension ref="A1:X54"/>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defaultColWidth="8.6328125" defaultRowHeight="14.5" x14ac:dyDescent="0.35"/>
  <cols>
    <col min="1" max="1" width="2" customWidth="1"/>
    <col min="2" max="2" width="30" customWidth="1"/>
    <col min="3" max="7" width="14" customWidth="1"/>
    <col min="8" max="8" width="2" customWidth="1"/>
    <col min="9" max="9" width="30" customWidth="1"/>
    <col min="10" max="12" width="14" customWidth="1"/>
    <col min="13" max="13" width="2" customWidth="1"/>
    <col min="14" max="14" width="30" customWidth="1"/>
    <col min="15" max="16" width="14" customWidth="1"/>
    <col min="17" max="17" width="2" customWidth="1"/>
    <col min="18" max="18" width="30" customWidth="1"/>
    <col min="19" max="19" width="14" customWidth="1"/>
    <col min="20" max="20" width="2" customWidth="1"/>
    <col min="21" max="21" width="28" customWidth="1"/>
    <col min="22" max="24" width="2" customWidth="1"/>
  </cols>
  <sheetData>
    <row r="1" spans="1:24" ht="43.5" customHeight="1" x14ac:dyDescent="0.35">
      <c r="A1" s="9" t="s">
        <v>632</v>
      </c>
      <c r="B1" s="9"/>
      <c r="C1" s="9"/>
      <c r="D1" s="9"/>
      <c r="E1" s="9"/>
      <c r="F1" s="9"/>
      <c r="G1" s="9"/>
      <c r="H1" s="9"/>
      <c r="I1" s="9"/>
      <c r="J1" s="9"/>
      <c r="K1" s="9"/>
      <c r="L1" s="9"/>
      <c r="M1" s="9"/>
      <c r="N1" s="9"/>
      <c r="O1" s="9"/>
      <c r="P1" s="9"/>
      <c r="Q1" s="9"/>
      <c r="R1" s="9"/>
      <c r="S1" s="9"/>
      <c r="T1" s="9"/>
      <c r="U1" s="9"/>
      <c r="V1" s="9"/>
      <c r="W1" s="9"/>
      <c r="X1" s="9"/>
    </row>
    <row r="2" spans="1:24" ht="18" customHeight="1" x14ac:dyDescent="0.35">
      <c r="A2" s="8" t="s">
        <v>633</v>
      </c>
      <c r="B2" s="8"/>
      <c r="C2" s="8"/>
      <c r="D2" s="8"/>
      <c r="E2" s="8"/>
      <c r="F2" s="8"/>
      <c r="G2" s="8"/>
      <c r="H2" s="8"/>
      <c r="I2" s="8"/>
      <c r="J2" s="8"/>
      <c r="K2" s="8"/>
      <c r="L2" s="8"/>
      <c r="M2" s="8"/>
      <c r="N2" s="8"/>
      <c r="O2" s="8"/>
      <c r="P2" s="8"/>
      <c r="Q2" s="8"/>
      <c r="R2" s="8"/>
      <c r="S2" s="8"/>
      <c r="T2" s="8"/>
      <c r="U2" s="8"/>
      <c r="V2" s="8"/>
      <c r="W2" s="8"/>
      <c r="X2" s="8"/>
    </row>
    <row r="3" spans="1:24" ht="7.5" customHeight="1" x14ac:dyDescent="0.35">
      <c r="A3" s="19"/>
      <c r="B3" s="19"/>
      <c r="C3" s="19"/>
      <c r="D3" s="19"/>
      <c r="E3" s="19"/>
      <c r="F3" s="19"/>
      <c r="G3" s="19"/>
      <c r="H3" s="19"/>
      <c r="I3" s="19"/>
      <c r="J3" s="19"/>
      <c r="K3" s="19"/>
      <c r="L3" s="19"/>
      <c r="M3" s="19"/>
      <c r="N3" s="19"/>
      <c r="O3" s="19"/>
      <c r="P3" s="19"/>
      <c r="Q3" s="19"/>
      <c r="R3" s="19"/>
      <c r="S3" s="19"/>
      <c r="T3" s="19"/>
      <c r="U3" s="19"/>
      <c r="V3" s="19"/>
      <c r="W3" s="19"/>
      <c r="X3" s="19"/>
    </row>
    <row r="4" spans="1:24" ht="19.5" customHeight="1" x14ac:dyDescent="0.35">
      <c r="A4" s="12" t="s">
        <v>634</v>
      </c>
      <c r="B4" s="12"/>
      <c r="C4" s="12"/>
      <c r="D4" s="12"/>
      <c r="E4" s="12"/>
      <c r="F4" s="12"/>
      <c r="G4" s="12"/>
      <c r="I4" s="6" t="s">
        <v>635</v>
      </c>
      <c r="J4" s="6"/>
      <c r="K4" s="6"/>
      <c r="L4" s="6"/>
      <c r="M4" s="19"/>
      <c r="N4" s="323" t="s">
        <v>636</v>
      </c>
      <c r="O4" s="323"/>
      <c r="P4" s="323"/>
      <c r="Q4" s="19"/>
      <c r="R4" s="7" t="s">
        <v>637</v>
      </c>
      <c r="S4" s="7"/>
      <c r="T4" s="7"/>
      <c r="U4" s="7"/>
    </row>
    <row r="5" spans="1:24" ht="31.5" customHeight="1" x14ac:dyDescent="0.35">
      <c r="B5" s="20" t="s">
        <v>638</v>
      </c>
      <c r="C5" s="15" t="s">
        <v>639</v>
      </c>
      <c r="D5" s="15" t="s">
        <v>640</v>
      </c>
      <c r="E5" s="15" t="s">
        <v>641</v>
      </c>
      <c r="F5" s="15" t="s">
        <v>642</v>
      </c>
      <c r="G5" s="139" t="s">
        <v>643</v>
      </c>
      <c r="I5" s="22" t="s">
        <v>644</v>
      </c>
      <c r="J5" s="22" t="s">
        <v>645</v>
      </c>
      <c r="K5" s="22" t="s">
        <v>646</v>
      </c>
      <c r="L5" s="22" t="s">
        <v>354</v>
      </c>
      <c r="M5" s="19"/>
      <c r="N5" s="121" t="s">
        <v>647</v>
      </c>
      <c r="O5" s="121" t="s">
        <v>648</v>
      </c>
      <c r="P5" s="121" t="s">
        <v>649</v>
      </c>
      <c r="Q5" s="19"/>
      <c r="R5" s="15" t="s">
        <v>650</v>
      </c>
      <c r="S5" s="15" t="s">
        <v>651</v>
      </c>
      <c r="T5" s="19"/>
    </row>
    <row r="6" spans="1:24" ht="16.5" customHeight="1" x14ac:dyDescent="0.35">
      <c r="B6" s="23" t="s">
        <v>652</v>
      </c>
      <c r="C6" s="140"/>
      <c r="D6" s="140"/>
      <c r="E6" s="140"/>
      <c r="F6" s="140"/>
      <c r="G6" s="44"/>
      <c r="I6" s="23" t="s">
        <v>653</v>
      </c>
      <c r="J6" s="140"/>
      <c r="K6" s="140"/>
      <c r="L6" s="141"/>
      <c r="M6" s="19"/>
      <c r="N6" s="142" t="s">
        <v>654</v>
      </c>
      <c r="O6" s="140"/>
      <c r="P6" s="140"/>
      <c r="Q6" s="143" t="s">
        <v>655</v>
      </c>
      <c r="R6" s="144" t="s">
        <v>656</v>
      </c>
      <c r="S6" s="140"/>
      <c r="T6" s="143"/>
    </row>
    <row r="7" spans="1:24" ht="16.5" customHeight="1" x14ac:dyDescent="0.35">
      <c r="B7" s="29" t="s">
        <v>657</v>
      </c>
      <c r="C7" s="49">
        <v>0.02</v>
      </c>
      <c r="D7" s="145">
        <v>0.15</v>
      </c>
      <c r="E7" s="146">
        <v>-0.13</v>
      </c>
      <c r="F7" s="50">
        <v>-3900</v>
      </c>
      <c r="G7" s="147">
        <v>33900</v>
      </c>
      <c r="I7" s="29" t="s">
        <v>658</v>
      </c>
      <c r="J7" s="52">
        <v>250000</v>
      </c>
      <c r="K7" s="28"/>
      <c r="L7" s="148" t="s">
        <v>659</v>
      </c>
      <c r="M7" s="19"/>
      <c r="N7" s="29" t="s">
        <v>660</v>
      </c>
      <c r="O7" s="33" t="s">
        <v>571</v>
      </c>
      <c r="P7" s="149" t="s">
        <v>571</v>
      </c>
      <c r="Q7" s="143" t="s">
        <v>661</v>
      </c>
      <c r="R7" s="29" t="s">
        <v>662</v>
      </c>
      <c r="S7" s="49">
        <v>0.15</v>
      </c>
      <c r="T7" s="143" t="s">
        <v>663</v>
      </c>
    </row>
    <row r="8" spans="1:24" ht="16.5" customHeight="1" x14ac:dyDescent="0.35">
      <c r="B8" s="29" t="s">
        <v>664</v>
      </c>
      <c r="C8" s="49">
        <v>0.21</v>
      </c>
      <c r="D8" s="145">
        <v>0.15</v>
      </c>
      <c r="E8" s="146">
        <v>0.06</v>
      </c>
      <c r="F8" s="50">
        <v>1800</v>
      </c>
      <c r="G8" s="147">
        <v>28200</v>
      </c>
      <c r="I8" s="29" t="s">
        <v>665</v>
      </c>
      <c r="J8" s="49">
        <v>0.15</v>
      </c>
      <c r="K8" s="28"/>
      <c r="L8" s="148" t="s">
        <v>666</v>
      </c>
      <c r="M8" s="19"/>
      <c r="N8" s="29" t="s">
        <v>667</v>
      </c>
      <c r="O8" s="33" t="s">
        <v>571</v>
      </c>
      <c r="P8" s="149" t="s">
        <v>668</v>
      </c>
      <c r="Q8" s="143" t="s">
        <v>669</v>
      </c>
      <c r="R8" s="69" t="s">
        <v>670</v>
      </c>
      <c r="S8" s="145">
        <v>0</v>
      </c>
      <c r="T8" s="143" t="s">
        <v>671</v>
      </c>
    </row>
    <row r="9" spans="1:24" ht="16.5" customHeight="1" x14ac:dyDescent="0.35">
      <c r="B9" s="29" t="s">
        <v>672</v>
      </c>
      <c r="C9" s="49">
        <v>0.34</v>
      </c>
      <c r="D9" s="145">
        <v>0.15</v>
      </c>
      <c r="E9" s="146">
        <v>0.19</v>
      </c>
      <c r="F9" s="50">
        <v>5700</v>
      </c>
      <c r="G9" s="147">
        <v>24300</v>
      </c>
      <c r="I9" s="29" t="s">
        <v>673</v>
      </c>
      <c r="J9" s="49">
        <v>0.15</v>
      </c>
      <c r="K9" s="28"/>
      <c r="L9" s="148" t="s">
        <v>674</v>
      </c>
      <c r="M9" s="19"/>
      <c r="N9" s="29" t="s">
        <v>675</v>
      </c>
      <c r="O9" s="150">
        <v>0.15</v>
      </c>
      <c r="P9" s="49">
        <v>0.15</v>
      </c>
      <c r="Q9" s="143" t="s">
        <v>676</v>
      </c>
      <c r="R9" s="69" t="s">
        <v>677</v>
      </c>
      <c r="S9" s="145">
        <v>0.15</v>
      </c>
      <c r="T9" s="143" t="s">
        <v>678</v>
      </c>
    </row>
    <row r="10" spans="1:24" ht="16.5" customHeight="1" x14ac:dyDescent="0.35">
      <c r="B10" s="29" t="s">
        <v>679</v>
      </c>
      <c r="C10" s="49">
        <v>0.34</v>
      </c>
      <c r="D10" s="145">
        <v>0.15</v>
      </c>
      <c r="E10" s="146">
        <v>0.19</v>
      </c>
      <c r="F10" s="50">
        <v>5700</v>
      </c>
      <c r="G10" s="147">
        <v>24300</v>
      </c>
      <c r="I10" s="60" t="s">
        <v>680</v>
      </c>
      <c r="J10" s="145">
        <v>0.3</v>
      </c>
      <c r="K10" s="151"/>
      <c r="L10" s="74" t="s">
        <v>681</v>
      </c>
      <c r="M10" s="19"/>
      <c r="N10" s="60" t="s">
        <v>682</v>
      </c>
      <c r="O10" s="152">
        <v>0.15</v>
      </c>
      <c r="P10" s="62">
        <v>0.3</v>
      </c>
      <c r="Q10" s="143" t="s">
        <v>683</v>
      </c>
      <c r="R10" s="45"/>
      <c r="S10" s="44"/>
      <c r="T10" s="143"/>
    </row>
    <row r="11" spans="1:24" ht="16.5" customHeight="1" x14ac:dyDescent="0.35">
      <c r="B11" s="29" t="s">
        <v>684</v>
      </c>
      <c r="C11" s="49">
        <v>0.41</v>
      </c>
      <c r="D11" s="145">
        <v>0.15</v>
      </c>
      <c r="E11" s="146">
        <v>0.26</v>
      </c>
      <c r="F11" s="50">
        <v>7800</v>
      </c>
      <c r="G11" s="147">
        <v>22200</v>
      </c>
      <c r="I11" s="45"/>
      <c r="J11" s="44"/>
      <c r="K11" s="44"/>
      <c r="L11" s="153" t="s">
        <v>685</v>
      </c>
      <c r="M11" s="19"/>
      <c r="N11" s="29" t="s">
        <v>686</v>
      </c>
      <c r="O11" s="28"/>
      <c r="P11" s="52">
        <v>3000000</v>
      </c>
      <c r="Q11" s="143" t="s">
        <v>687</v>
      </c>
      <c r="R11" s="144" t="s">
        <v>688</v>
      </c>
      <c r="S11" s="140"/>
      <c r="T11" s="143"/>
    </row>
    <row r="12" spans="1:24" ht="16.5" customHeight="1" x14ac:dyDescent="0.35">
      <c r="B12" s="29" t="s">
        <v>689</v>
      </c>
      <c r="C12" s="49">
        <v>0.47</v>
      </c>
      <c r="D12" s="145">
        <v>0.15</v>
      </c>
      <c r="E12" s="146">
        <v>0.32</v>
      </c>
      <c r="F12" s="50">
        <v>9600</v>
      </c>
      <c r="G12" s="147">
        <v>20400</v>
      </c>
      <c r="I12" s="23" t="s">
        <v>690</v>
      </c>
      <c r="J12" s="140"/>
      <c r="K12" s="140"/>
      <c r="L12" s="141"/>
      <c r="M12" s="19"/>
      <c r="N12" s="45"/>
      <c r="O12" s="44"/>
      <c r="P12" s="44"/>
      <c r="Q12" s="143"/>
      <c r="R12" s="29" t="s">
        <v>691</v>
      </c>
      <c r="S12" s="26">
        <v>400000</v>
      </c>
      <c r="T12" s="143" t="s">
        <v>692</v>
      </c>
    </row>
    <row r="13" spans="1:24" ht="16.5" customHeight="1" x14ac:dyDescent="0.35">
      <c r="B13" s="125" t="s">
        <v>693</v>
      </c>
      <c r="C13" s="151"/>
      <c r="D13" s="151"/>
      <c r="E13" s="151"/>
      <c r="F13" s="151"/>
      <c r="G13" s="44"/>
      <c r="I13" s="29" t="s">
        <v>694</v>
      </c>
      <c r="J13" s="28"/>
      <c r="K13" s="52">
        <f>C18</f>
        <v>95000</v>
      </c>
      <c r="L13" s="148"/>
      <c r="M13" s="19"/>
      <c r="N13" s="142" t="s">
        <v>695</v>
      </c>
      <c r="O13" s="140"/>
      <c r="P13" s="140"/>
      <c r="Q13" s="143" t="s">
        <v>696</v>
      </c>
      <c r="R13" s="29" t="s">
        <v>697</v>
      </c>
      <c r="S13" s="35">
        <v>0.06</v>
      </c>
      <c r="T13" s="143" t="s">
        <v>692</v>
      </c>
    </row>
    <row r="14" spans="1:24" ht="16.5" customHeight="1" x14ac:dyDescent="0.35">
      <c r="B14" s="60" t="s">
        <v>698</v>
      </c>
      <c r="C14" s="145">
        <v>0.47</v>
      </c>
      <c r="D14" s="145">
        <v>0.15</v>
      </c>
      <c r="E14" s="146">
        <v>0.32</v>
      </c>
      <c r="F14" s="50">
        <v>9600</v>
      </c>
      <c r="G14" s="147">
        <v>20400</v>
      </c>
      <c r="I14" s="29" t="s">
        <v>699</v>
      </c>
      <c r="J14" s="28"/>
      <c r="K14" s="52">
        <f>C19</f>
        <v>30000</v>
      </c>
      <c r="L14" s="148" t="s">
        <v>700</v>
      </c>
      <c r="M14" s="19"/>
      <c r="N14" s="29" t="s">
        <v>701</v>
      </c>
      <c r="O14" s="28"/>
      <c r="P14" s="28"/>
      <c r="Q14" s="143" t="s">
        <v>702</v>
      </c>
      <c r="R14" s="29" t="s">
        <v>703</v>
      </c>
      <c r="S14" s="102">
        <v>25</v>
      </c>
      <c r="T14" s="143" t="s">
        <v>704</v>
      </c>
    </row>
    <row r="15" spans="1:24" ht="16.5" customHeight="1" x14ac:dyDescent="0.35">
      <c r="B15" s="60" t="s">
        <v>705</v>
      </c>
      <c r="C15" s="49">
        <v>0.47</v>
      </c>
      <c r="D15" s="62">
        <v>0.3</v>
      </c>
      <c r="E15" s="145">
        <v>0.17</v>
      </c>
      <c r="F15" s="53">
        <v>5100</v>
      </c>
      <c r="G15" s="154">
        <v>24900</v>
      </c>
      <c r="I15" s="29" t="s">
        <v>706</v>
      </c>
      <c r="J15" s="28"/>
      <c r="K15" s="52">
        <f>K13+K14</f>
        <v>125000</v>
      </c>
      <c r="L15" s="148" t="s">
        <v>707</v>
      </c>
      <c r="M15" s="19"/>
      <c r="N15" s="29" t="s">
        <v>708</v>
      </c>
      <c r="O15" s="28"/>
      <c r="P15" s="28"/>
      <c r="Q15" s="143" t="s">
        <v>702</v>
      </c>
      <c r="R15" s="45"/>
      <c r="S15" s="44"/>
      <c r="T15" s="143"/>
    </row>
    <row r="16" spans="1:24" ht="16.5" customHeight="1" x14ac:dyDescent="0.35">
      <c r="A16" s="19"/>
      <c r="B16" s="19"/>
      <c r="C16" s="19"/>
      <c r="D16" s="19"/>
      <c r="E16" s="19"/>
      <c r="F16" s="19"/>
      <c r="G16" s="19"/>
      <c r="H16" s="19"/>
      <c r="I16" s="29" t="s">
        <v>709</v>
      </c>
      <c r="J16" s="52">
        <v>250000</v>
      </c>
      <c r="K16" s="52">
        <v>250000</v>
      </c>
      <c r="L16" s="148" t="s">
        <v>710</v>
      </c>
      <c r="M16" s="19"/>
      <c r="N16" s="45"/>
      <c r="O16" s="44"/>
      <c r="P16" s="44"/>
      <c r="Q16" s="143"/>
      <c r="R16" s="144" t="s">
        <v>711</v>
      </c>
      <c r="S16" s="140"/>
      <c r="T16" s="143"/>
      <c r="U16" s="19"/>
      <c r="V16" s="19"/>
      <c r="W16" s="19"/>
      <c r="X16" s="19"/>
    </row>
    <row r="17" spans="1:24" ht="16.5" customHeight="1" x14ac:dyDescent="0.35">
      <c r="A17" s="7" t="s">
        <v>712</v>
      </c>
      <c r="B17" s="7"/>
      <c r="C17" s="7"/>
      <c r="D17" s="7"/>
      <c r="E17" s="7"/>
      <c r="F17" s="7"/>
      <c r="G17" s="7"/>
      <c r="I17" s="29" t="s">
        <v>713</v>
      </c>
      <c r="J17" s="28"/>
      <c r="K17" s="52">
        <f>MAX(0,MIN(K14,K13+K14-K16))</f>
        <v>0</v>
      </c>
      <c r="L17" s="148"/>
      <c r="M17" s="19"/>
      <c r="N17" s="142" t="s">
        <v>711</v>
      </c>
      <c r="O17" s="140"/>
      <c r="P17" s="140"/>
      <c r="Q17" s="143"/>
      <c r="R17" s="29" t="s">
        <v>714</v>
      </c>
      <c r="S17" s="155">
        <f>S12*S13</f>
        <v>24000</v>
      </c>
      <c r="T17" s="143"/>
    </row>
    <row r="18" spans="1:24" ht="16.5" customHeight="1" x14ac:dyDescent="0.35">
      <c r="B18" s="25" t="s">
        <v>715</v>
      </c>
      <c r="C18" s="26">
        <v>95000</v>
      </c>
      <c r="D18" s="326" t="s">
        <v>716</v>
      </c>
      <c r="E18" s="326"/>
      <c r="F18" s="326"/>
      <c r="G18" s="326"/>
      <c r="I18" s="60" t="s">
        <v>717</v>
      </c>
      <c r="J18" s="151"/>
      <c r="K18" s="53">
        <f>K17*0.15</f>
        <v>0</v>
      </c>
      <c r="L18" s="74"/>
      <c r="M18" s="19"/>
      <c r="N18" s="29" t="s">
        <v>718</v>
      </c>
      <c r="O18" s="28"/>
      <c r="P18" s="52">
        <f>O19*O20</f>
        <v>210000</v>
      </c>
      <c r="Q18" s="143"/>
      <c r="R18" s="69" t="s">
        <v>719</v>
      </c>
      <c r="S18" s="50">
        <f>S17*0.15</f>
        <v>3600</v>
      </c>
      <c r="T18" s="143"/>
    </row>
    <row r="19" spans="1:24" ht="16.5" customHeight="1" x14ac:dyDescent="0.35">
      <c r="B19" s="25" t="s">
        <v>720</v>
      </c>
      <c r="C19" s="26">
        <v>30000</v>
      </c>
      <c r="G19" s="19"/>
      <c r="I19" s="60" t="s">
        <v>721</v>
      </c>
      <c r="J19" s="151"/>
      <c r="K19" s="145">
        <f>K14*0.15+K18</f>
        <v>4500</v>
      </c>
      <c r="L19" s="74" t="s">
        <v>722</v>
      </c>
      <c r="M19" s="19"/>
      <c r="N19" s="29" t="s">
        <v>701</v>
      </c>
      <c r="O19" s="26">
        <v>3500000</v>
      </c>
      <c r="P19" s="49">
        <f>MAX(0,(O19-3000000)/O19)</f>
        <v>0.14285714285714285</v>
      </c>
      <c r="Q19" s="143" t="s">
        <v>723</v>
      </c>
      <c r="R19" s="69" t="s">
        <v>724</v>
      </c>
      <c r="S19" s="50">
        <f>S18*S14</f>
        <v>90000</v>
      </c>
      <c r="T19" s="143"/>
    </row>
    <row r="20" spans="1:24" ht="16.5" customHeight="1" x14ac:dyDescent="0.35">
      <c r="B20" s="25" t="s">
        <v>725</v>
      </c>
      <c r="C20" s="146">
        <f>IF(C18&lt;=18200,0.02,IF(C18&lt;=45000,0.21,IF(C18&lt;=135000,0.34,IF(C18&lt;=190000,0.41,0.47))))</f>
        <v>0.34</v>
      </c>
      <c r="D20" s="326" t="s">
        <v>726</v>
      </c>
      <c r="E20" s="326"/>
      <c r="F20" s="326"/>
      <c r="G20" s="326"/>
      <c r="I20" s="60" t="s">
        <v>727</v>
      </c>
      <c r="J20" s="151"/>
      <c r="K20" s="145">
        <f>IF(K14&gt;0,K19/K14,0)</f>
        <v>0.15</v>
      </c>
      <c r="L20" s="74"/>
      <c r="M20" s="19"/>
      <c r="N20" s="29" t="s">
        <v>708</v>
      </c>
      <c r="O20" s="156">
        <v>0.06</v>
      </c>
      <c r="P20" s="52">
        <f>P18*P19</f>
        <v>30000</v>
      </c>
      <c r="Q20" s="143"/>
      <c r="R20" s="69" t="s">
        <v>728</v>
      </c>
      <c r="S20" s="50">
        <f>S18*((1+S13)^S14-1)/S13</f>
        <v>197512.24318460931</v>
      </c>
      <c r="T20" s="143" t="s">
        <v>729</v>
      </c>
    </row>
    <row r="21" spans="1:24" ht="16.5" customHeight="1" x14ac:dyDescent="0.35">
      <c r="B21" s="25" t="s">
        <v>730</v>
      </c>
      <c r="C21" s="146">
        <f>MAX(0,C20-0.15)</f>
        <v>0.19000000000000003</v>
      </c>
      <c r="G21" s="19"/>
      <c r="I21" s="45"/>
      <c r="J21" s="44"/>
      <c r="K21" s="44"/>
      <c r="L21" s="153"/>
      <c r="M21" s="19"/>
      <c r="N21" s="29" t="s">
        <v>731</v>
      </c>
      <c r="O21" s="28"/>
      <c r="P21" s="52">
        <f>P18*0.15</f>
        <v>31500</v>
      </c>
      <c r="Q21" s="143"/>
      <c r="R21" s="69" t="s">
        <v>732</v>
      </c>
      <c r="S21" s="157">
        <f>S19/S17</f>
        <v>3.75</v>
      </c>
      <c r="T21" s="143"/>
    </row>
    <row r="22" spans="1:24" ht="16.5" customHeight="1" x14ac:dyDescent="0.35">
      <c r="B22" s="25" t="s">
        <v>733</v>
      </c>
      <c r="C22" s="50">
        <f>C21*C19</f>
        <v>5700.0000000000009</v>
      </c>
      <c r="G22" s="19"/>
      <c r="I22" s="23" t="s">
        <v>734</v>
      </c>
      <c r="J22" s="140"/>
      <c r="K22" s="140"/>
      <c r="L22" s="141"/>
      <c r="M22" s="19"/>
      <c r="N22" s="60" t="s">
        <v>735</v>
      </c>
      <c r="O22" s="151"/>
      <c r="P22" s="46">
        <f>P20*0.15</f>
        <v>4500</v>
      </c>
      <c r="Q22" s="143" t="s">
        <v>736</v>
      </c>
      <c r="R22" s="45"/>
      <c r="S22" s="67"/>
      <c r="T22" s="143"/>
    </row>
    <row r="23" spans="1:24" ht="16.5" customHeight="1" x14ac:dyDescent="0.35">
      <c r="B23" s="25" t="s">
        <v>737</v>
      </c>
      <c r="C23" s="50">
        <f>C22*30</f>
        <v>171000.00000000003</v>
      </c>
      <c r="G23" s="19"/>
      <c r="I23" s="69" t="s">
        <v>738</v>
      </c>
      <c r="J23" s="151"/>
      <c r="K23" s="53">
        <f>MAX(0,C20-0.15)*K14</f>
        <v>5700.0000000000009</v>
      </c>
      <c r="L23" s="74"/>
      <c r="M23" s="19"/>
      <c r="N23" s="60" t="s">
        <v>739</v>
      </c>
      <c r="O23" s="151"/>
      <c r="P23" s="46">
        <f>P21+P22</f>
        <v>36000</v>
      </c>
      <c r="Q23" s="143"/>
      <c r="R23" s="144" t="s">
        <v>740</v>
      </c>
      <c r="S23" s="140"/>
      <c r="T23" s="143"/>
    </row>
    <row r="24" spans="1:24" ht="16.5" customHeight="1" x14ac:dyDescent="0.35">
      <c r="B24" s="25" t="s">
        <v>741</v>
      </c>
      <c r="C24" s="46">
        <f>IF((C18+C19)&gt;250000,C19*0.15,0)</f>
        <v>0</v>
      </c>
      <c r="G24" s="19"/>
      <c r="I24" s="69" t="s">
        <v>742</v>
      </c>
      <c r="J24" s="151"/>
      <c r="K24" s="53">
        <f>MAX(0,C20-0.3)*K14</f>
        <v>1200.0000000000011</v>
      </c>
      <c r="L24" s="74"/>
      <c r="M24" s="19"/>
      <c r="N24" s="60" t="s">
        <v>743</v>
      </c>
      <c r="O24" s="151"/>
      <c r="P24" s="46">
        <f>P22</f>
        <v>4500</v>
      </c>
      <c r="Q24" s="143"/>
      <c r="R24" s="29" t="s">
        <v>744</v>
      </c>
      <c r="S24" s="155">
        <f>S12*((1+S13*(1-0.15))^S14)</f>
        <v>1387164.264041001</v>
      </c>
      <c r="T24" s="143" t="s">
        <v>745</v>
      </c>
    </row>
    <row r="25" spans="1:24" ht="16.5" customHeight="1" x14ac:dyDescent="0.35">
      <c r="B25" s="25" t="s">
        <v>746</v>
      </c>
      <c r="C25" s="50">
        <f>C22-C24</f>
        <v>5700.0000000000009</v>
      </c>
      <c r="G25" s="19"/>
      <c r="I25" s="60" t="s">
        <v>747</v>
      </c>
      <c r="J25" s="151"/>
      <c r="K25" s="53">
        <f>K18</f>
        <v>0</v>
      </c>
      <c r="L25" s="74"/>
      <c r="M25" s="19"/>
      <c r="N25" s="60" t="s">
        <v>748</v>
      </c>
      <c r="O25" s="151"/>
      <c r="P25" s="46">
        <f>P22*10</f>
        <v>45000</v>
      </c>
      <c r="Q25" s="143"/>
      <c r="R25" s="69" t="s">
        <v>749</v>
      </c>
      <c r="S25" s="50">
        <f>S12*(1+S13)^S14</f>
        <v>1716748.2878973952</v>
      </c>
      <c r="T25" s="143" t="s">
        <v>750</v>
      </c>
    </row>
    <row r="26" spans="1:24" ht="16.5" customHeight="1" x14ac:dyDescent="0.35">
      <c r="G26" s="19"/>
      <c r="I26" s="60" t="s">
        <v>751</v>
      </c>
      <c r="J26" s="151"/>
      <c r="K26" s="53">
        <f>K18*30</f>
        <v>0</v>
      </c>
      <c r="L26" s="74"/>
      <c r="M26" s="19"/>
      <c r="N26" s="45"/>
      <c r="O26" s="44"/>
      <c r="P26" s="44"/>
      <c r="Q26" s="143"/>
      <c r="R26" s="69" t="s">
        <v>752</v>
      </c>
      <c r="S26" s="50">
        <f>S25-S24</f>
        <v>329584.02385639423</v>
      </c>
      <c r="T26" s="143"/>
    </row>
    <row r="27" spans="1:24" ht="6" customHeight="1" x14ac:dyDescent="0.35">
      <c r="A27" s="19"/>
      <c r="B27" s="19"/>
      <c r="C27" s="19"/>
      <c r="D27" s="19"/>
      <c r="E27" s="19"/>
      <c r="F27" s="19"/>
      <c r="G27" s="19"/>
      <c r="H27" s="19"/>
      <c r="I27" s="19"/>
      <c r="J27" s="19"/>
      <c r="K27" s="19"/>
      <c r="L27" s="19"/>
      <c r="M27" s="19"/>
      <c r="N27" s="158" t="s">
        <v>753</v>
      </c>
      <c r="O27" s="44"/>
      <c r="P27" s="44"/>
      <c r="Q27" s="143" t="s">
        <v>754</v>
      </c>
      <c r="R27" s="45" t="s">
        <v>755</v>
      </c>
      <c r="S27" s="159">
        <f>IF(S24&gt;0,(S25-S24)/S24,0)</f>
        <v>0.23759552664388173</v>
      </c>
      <c r="T27" s="143"/>
      <c r="U27" s="19"/>
      <c r="V27" s="19"/>
      <c r="W27" s="19"/>
      <c r="X27" s="19"/>
    </row>
    <row r="28" spans="1:24" ht="19.5" customHeight="1" x14ac:dyDescent="0.35">
      <c r="A28" s="12" t="s">
        <v>756</v>
      </c>
      <c r="B28" s="12"/>
      <c r="C28" s="12"/>
      <c r="D28" s="12"/>
      <c r="E28" s="12"/>
      <c r="F28" s="12"/>
      <c r="G28" s="12"/>
      <c r="H28" s="12"/>
      <c r="I28" s="12"/>
      <c r="J28" s="12"/>
      <c r="K28" s="12"/>
      <c r="L28" s="12"/>
      <c r="M28" s="19"/>
      <c r="N28" s="60" t="s">
        <v>757</v>
      </c>
      <c r="O28" s="151"/>
      <c r="P28" s="151"/>
      <c r="Q28" s="143" t="s">
        <v>758</v>
      </c>
      <c r="T28" s="19"/>
    </row>
    <row r="29" spans="1:24" ht="31.5" customHeight="1" x14ac:dyDescent="0.35">
      <c r="B29" s="20" t="s">
        <v>759</v>
      </c>
      <c r="C29" s="15" t="s">
        <v>760</v>
      </c>
      <c r="D29" s="15" t="s">
        <v>761</v>
      </c>
      <c r="E29" s="15" t="s">
        <v>762</v>
      </c>
      <c r="F29" s="160" t="s">
        <v>763</v>
      </c>
      <c r="G29" s="19"/>
      <c r="H29" s="15" t="s">
        <v>764</v>
      </c>
      <c r="I29" s="15" t="s">
        <v>765</v>
      </c>
      <c r="J29" s="15" t="s">
        <v>766</v>
      </c>
      <c r="K29" s="15" t="s">
        <v>767</v>
      </c>
      <c r="L29" s="15" t="s">
        <v>768</v>
      </c>
      <c r="M29" s="19"/>
      <c r="Q29" s="19"/>
      <c r="T29" s="19"/>
    </row>
    <row r="30" spans="1:24" ht="18" customHeight="1" x14ac:dyDescent="0.35">
      <c r="B30" s="23" t="s">
        <v>769</v>
      </c>
      <c r="C30" s="140"/>
      <c r="D30" s="140"/>
      <c r="E30" s="140"/>
      <c r="F30" s="140"/>
      <c r="G30" s="44"/>
      <c r="H30" s="23" t="s">
        <v>770</v>
      </c>
      <c r="I30" s="140"/>
      <c r="J30" s="140"/>
      <c r="K30" s="140"/>
      <c r="L30" s="140"/>
      <c r="M30" s="19"/>
      <c r="Q30" s="19"/>
      <c r="T30" s="19"/>
    </row>
    <row r="31" spans="1:24" ht="18" customHeight="1" x14ac:dyDescent="0.35">
      <c r="B31" s="29" t="s">
        <v>771</v>
      </c>
      <c r="C31" s="49">
        <v>0.34</v>
      </c>
      <c r="D31" s="49">
        <v>0.34</v>
      </c>
      <c r="E31" s="49">
        <v>0.41</v>
      </c>
      <c r="F31" s="49">
        <v>0.47</v>
      </c>
      <c r="G31" s="44"/>
      <c r="H31" s="29" t="s">
        <v>772</v>
      </c>
      <c r="I31" s="52">
        <v>300000</v>
      </c>
      <c r="J31" s="50">
        <v>300000</v>
      </c>
      <c r="K31" s="52">
        <v>600000</v>
      </c>
      <c r="L31" s="50">
        <v>600000</v>
      </c>
      <c r="M31" s="19"/>
      <c r="Q31" s="19"/>
      <c r="T31" s="19"/>
    </row>
    <row r="32" spans="1:24" ht="18" customHeight="1" x14ac:dyDescent="0.35">
      <c r="B32" s="69" t="s">
        <v>773</v>
      </c>
      <c r="C32" s="53">
        <v>5700</v>
      </c>
      <c r="D32" s="53">
        <v>5700</v>
      </c>
      <c r="E32" s="53">
        <v>7800</v>
      </c>
      <c r="F32" s="53">
        <v>9600</v>
      </c>
      <c r="G32" s="44"/>
      <c r="H32" s="29" t="s">
        <v>774</v>
      </c>
      <c r="I32" s="49">
        <v>0.06</v>
      </c>
      <c r="J32" s="146">
        <v>0.06</v>
      </c>
      <c r="K32" s="49">
        <v>0.06</v>
      </c>
      <c r="L32" s="146">
        <v>0.06</v>
      </c>
      <c r="M32" s="19"/>
      <c r="Q32" s="19"/>
      <c r="T32" s="19"/>
    </row>
    <row r="33" spans="1:24" ht="18" customHeight="1" x14ac:dyDescent="0.35">
      <c r="B33" s="69" t="s">
        <v>775</v>
      </c>
      <c r="C33" s="53">
        <v>0</v>
      </c>
      <c r="D33" s="53">
        <v>0</v>
      </c>
      <c r="E33" s="53">
        <v>0</v>
      </c>
      <c r="F33" s="53">
        <v>4500</v>
      </c>
      <c r="G33" s="44"/>
      <c r="H33" s="29" t="s">
        <v>776</v>
      </c>
      <c r="I33" s="49">
        <v>0.15</v>
      </c>
      <c r="J33" s="146">
        <v>0</v>
      </c>
      <c r="K33" s="49">
        <v>0.15</v>
      </c>
      <c r="L33" s="146">
        <v>0</v>
      </c>
      <c r="M33" s="19"/>
      <c r="Q33" s="19"/>
      <c r="T33" s="19"/>
    </row>
    <row r="34" spans="1:24" ht="18" customHeight="1" x14ac:dyDescent="0.35">
      <c r="B34" s="69" t="s">
        <v>777</v>
      </c>
      <c r="C34" s="53">
        <v>5700</v>
      </c>
      <c r="D34" s="53">
        <v>5700</v>
      </c>
      <c r="E34" s="53">
        <v>7800</v>
      </c>
      <c r="F34" s="53">
        <v>5100</v>
      </c>
      <c r="G34" s="44"/>
      <c r="H34" s="29" t="s">
        <v>778</v>
      </c>
      <c r="I34" s="49">
        <v>5.0999999999999997E-2</v>
      </c>
      <c r="J34" s="146">
        <v>0.06</v>
      </c>
      <c r="K34" s="49">
        <v>5.0999999999999997E-2</v>
      </c>
      <c r="L34" s="146">
        <v>0.06</v>
      </c>
      <c r="M34" s="19"/>
      <c r="Q34" s="19"/>
      <c r="T34" s="19"/>
    </row>
    <row r="35" spans="1:24" ht="18" customHeight="1" x14ac:dyDescent="0.35">
      <c r="B35" s="23" t="s">
        <v>779</v>
      </c>
      <c r="C35" s="140"/>
      <c r="D35" s="140"/>
      <c r="E35" s="140"/>
      <c r="F35" s="140"/>
      <c r="G35" s="44"/>
      <c r="H35" s="29" t="s">
        <v>780</v>
      </c>
      <c r="I35" s="52">
        <v>1334144.08648431</v>
      </c>
      <c r="J35" s="50">
        <v>1723047.3518739799</v>
      </c>
      <c r="K35" s="52">
        <v>2668288.17296862</v>
      </c>
      <c r="L35" s="50">
        <v>3446094.7037479598</v>
      </c>
      <c r="M35" s="19"/>
      <c r="Q35" s="19"/>
      <c r="T35" s="19"/>
    </row>
    <row r="36" spans="1:24" ht="18" customHeight="1" x14ac:dyDescent="0.35">
      <c r="B36" s="69" t="s">
        <v>781</v>
      </c>
      <c r="C36" s="53">
        <v>171000</v>
      </c>
      <c r="D36" s="53">
        <v>171000</v>
      </c>
      <c r="E36" s="53">
        <v>234000</v>
      </c>
      <c r="F36" s="53">
        <v>153000</v>
      </c>
      <c r="G36" s="44"/>
      <c r="H36" s="69" t="s">
        <v>752</v>
      </c>
      <c r="I36" s="50">
        <v>0</v>
      </c>
      <c r="J36" s="50">
        <v>388903.26538966602</v>
      </c>
      <c r="K36" s="50">
        <v>0</v>
      </c>
      <c r="L36" s="50">
        <v>777806.53077933099</v>
      </c>
      <c r="M36" s="19"/>
      <c r="Q36" s="19"/>
      <c r="T36" s="19"/>
    </row>
    <row r="37" spans="1:24" ht="18" customHeight="1" x14ac:dyDescent="0.35">
      <c r="B37" s="69" t="s">
        <v>782</v>
      </c>
      <c r="C37" s="53">
        <v>0</v>
      </c>
      <c r="D37" s="53">
        <v>0</v>
      </c>
      <c r="E37" s="53">
        <v>0</v>
      </c>
      <c r="F37" s="53">
        <v>135000</v>
      </c>
      <c r="G37" s="44"/>
      <c r="H37" s="151"/>
      <c r="I37" s="151"/>
      <c r="J37" s="151"/>
      <c r="K37" s="151"/>
      <c r="L37" s="151"/>
      <c r="M37" s="19"/>
      <c r="Q37" s="19"/>
      <c r="T37" s="19"/>
    </row>
    <row r="38" spans="1:24" ht="18" customHeight="1" x14ac:dyDescent="0.35">
      <c r="B38" s="69" t="s">
        <v>783</v>
      </c>
      <c r="C38" s="53">
        <v>171000</v>
      </c>
      <c r="D38" s="53">
        <v>171000</v>
      </c>
      <c r="E38" s="53">
        <v>234000</v>
      </c>
      <c r="F38" s="53">
        <v>153000</v>
      </c>
      <c r="G38" s="44"/>
      <c r="H38" s="151"/>
      <c r="I38" s="151"/>
      <c r="J38" s="151"/>
      <c r="K38" s="151"/>
      <c r="L38" s="151"/>
      <c r="M38" s="19"/>
      <c r="Q38" s="19"/>
      <c r="T38" s="19"/>
    </row>
    <row r="39" spans="1:24" ht="15" customHeight="1" x14ac:dyDescent="0.35">
      <c r="G39" s="19"/>
      <c r="M39" s="19"/>
      <c r="Q39" s="19"/>
      <c r="T39" s="19"/>
    </row>
    <row r="40" spans="1:24" ht="15" customHeight="1" x14ac:dyDescent="0.35">
      <c r="G40" s="19"/>
      <c r="M40" s="19"/>
      <c r="Q40" s="19"/>
      <c r="T40" s="19"/>
    </row>
    <row r="41" spans="1:24" ht="36" customHeight="1" x14ac:dyDescent="0.35">
      <c r="A41" s="2" t="s">
        <v>784</v>
      </c>
      <c r="B41" s="2"/>
      <c r="C41" s="2"/>
      <c r="D41" s="2"/>
      <c r="E41" s="2"/>
      <c r="F41" s="2"/>
      <c r="G41" s="2"/>
      <c r="H41" s="2"/>
      <c r="I41" s="2"/>
      <c r="J41" s="2"/>
      <c r="K41" s="2"/>
      <c r="L41" s="2"/>
      <c r="M41" s="2"/>
      <c r="N41" s="2"/>
      <c r="O41" s="2"/>
      <c r="P41" s="2"/>
      <c r="Q41" s="2"/>
      <c r="R41" s="2"/>
      <c r="S41" s="2"/>
      <c r="T41" s="2"/>
      <c r="U41" s="2"/>
      <c r="V41" s="2"/>
      <c r="W41" s="2"/>
      <c r="X41" s="2"/>
    </row>
    <row r="42" spans="1:24" ht="15" customHeight="1" x14ac:dyDescent="0.35">
      <c r="G42" s="19"/>
      <c r="M42" s="19"/>
      <c r="Q42" s="19"/>
      <c r="T42" s="19"/>
    </row>
    <row r="43" spans="1:24" ht="19.5" customHeight="1" x14ac:dyDescent="0.35">
      <c r="A43" s="12" t="s">
        <v>785</v>
      </c>
      <c r="B43" s="12"/>
      <c r="C43" s="12"/>
      <c r="D43" s="12"/>
      <c r="E43" s="12"/>
      <c r="F43" s="12"/>
      <c r="G43" s="12"/>
      <c r="H43" s="12"/>
      <c r="I43" s="12"/>
      <c r="J43" s="12"/>
      <c r="K43" s="12"/>
      <c r="L43" s="12"/>
      <c r="M43" s="19"/>
      <c r="Q43" s="19"/>
      <c r="T43" s="19"/>
    </row>
    <row r="44" spans="1:24" ht="15" customHeight="1" x14ac:dyDescent="0.35">
      <c r="G44" s="19"/>
      <c r="M44" s="19"/>
      <c r="Q44" s="19"/>
      <c r="T44" s="19"/>
    </row>
    <row r="45" spans="1:24" ht="15" customHeight="1" x14ac:dyDescent="0.35">
      <c r="G45" s="19"/>
      <c r="M45" s="19"/>
      <c r="Q45" s="19"/>
      <c r="T45" s="19"/>
    </row>
    <row r="46" spans="1:24" ht="15" customHeight="1" x14ac:dyDescent="0.35">
      <c r="G46" s="19"/>
      <c r="M46" s="19"/>
      <c r="Q46" s="19"/>
      <c r="T46" s="19"/>
    </row>
    <row r="47" spans="1:24" ht="15" customHeight="1" x14ac:dyDescent="0.35">
      <c r="G47" s="19"/>
      <c r="M47" s="19"/>
      <c r="Q47" s="19"/>
      <c r="T47" s="19"/>
    </row>
    <row r="48" spans="1:24" ht="15" customHeight="1" x14ac:dyDescent="0.35">
      <c r="G48" s="19"/>
      <c r="M48" s="19"/>
      <c r="Q48" s="19"/>
      <c r="T48" s="19"/>
    </row>
    <row r="49" spans="7:20" ht="15" customHeight="1" x14ac:dyDescent="0.35">
      <c r="G49" s="19"/>
      <c r="M49" s="19"/>
      <c r="Q49" s="19"/>
      <c r="T49" s="19"/>
    </row>
    <row r="50" spans="7:20" ht="15" customHeight="1" x14ac:dyDescent="0.35">
      <c r="G50" s="19"/>
      <c r="M50" s="19"/>
      <c r="Q50" s="19"/>
      <c r="T50" s="19"/>
    </row>
    <row r="51" spans="7:20" ht="15" customHeight="1" x14ac:dyDescent="0.35">
      <c r="G51" s="19"/>
      <c r="M51" s="19"/>
      <c r="Q51" s="19"/>
      <c r="T51" s="19"/>
    </row>
    <row r="52" spans="7:20" ht="15" customHeight="1" x14ac:dyDescent="0.35">
      <c r="G52" s="19"/>
      <c r="M52" s="19"/>
      <c r="Q52" s="19"/>
      <c r="T52" s="19"/>
    </row>
    <row r="53" spans="7:20" ht="15" customHeight="1" x14ac:dyDescent="0.35">
      <c r="G53" s="19"/>
      <c r="M53" s="19"/>
      <c r="Q53" s="19"/>
      <c r="T53" s="19"/>
    </row>
    <row r="54" spans="7:20" ht="15" customHeight="1" x14ac:dyDescent="0.35">
      <c r="G54" s="19"/>
      <c r="M54" s="19"/>
      <c r="Q54" s="19"/>
      <c r="T54" s="19"/>
    </row>
  </sheetData>
  <mergeCells count="12">
    <mergeCell ref="A43:L43"/>
    <mergeCell ref="A17:G17"/>
    <mergeCell ref="D18:G18"/>
    <mergeCell ref="D20:G20"/>
    <mergeCell ref="A28:L28"/>
    <mergeCell ref="A41:X41"/>
    <mergeCell ref="A1:X1"/>
    <mergeCell ref="A2:X2"/>
    <mergeCell ref="A4:G4"/>
    <mergeCell ref="I4:L4"/>
    <mergeCell ref="N4:P4"/>
    <mergeCell ref="R4:U4"/>
  </mergeCells>
  <pageMargins left="0.75" right="0.75" top="1" bottom="1" header="0.511811023622047" footer="0.511811023622047"/>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A8C6B"/>
  </sheetPr>
  <dimension ref="A1:X70"/>
  <sheetViews>
    <sheetView showGridLines="0" zoomScaleNormal="100" workbookViewId="0">
      <pane xSplit="2" ySplit="4" topLeftCell="C6" activePane="bottomRight" state="frozen"/>
      <selection pane="topRight" activeCell="C1" sqref="C1"/>
      <selection pane="bottomLeft" activeCell="A6" sqref="A6"/>
      <selection pane="bottomRight"/>
    </sheetView>
  </sheetViews>
  <sheetFormatPr defaultColWidth="8.6328125" defaultRowHeight="14.5" x14ac:dyDescent="0.35"/>
  <cols>
    <col min="1" max="1" width="2" customWidth="1"/>
    <col min="2" max="2" width="30" customWidth="1"/>
    <col min="3" max="6" width="15" customWidth="1"/>
    <col min="7" max="7" width="2" customWidth="1"/>
    <col min="8" max="8" width="30" customWidth="1"/>
    <col min="9" max="11" width="15" customWidth="1"/>
    <col min="12" max="12" width="2" customWidth="1"/>
    <col min="13" max="13" width="30" customWidth="1"/>
    <col min="14" max="15" width="15" customWidth="1"/>
    <col min="16" max="16" width="2" customWidth="1"/>
    <col min="17" max="17" width="30" customWidth="1"/>
    <col min="18" max="18" width="15" customWidth="1"/>
    <col min="19" max="19" width="2" customWidth="1"/>
    <col min="20" max="20" width="24" customWidth="1"/>
    <col min="21" max="24" width="2" customWidth="1"/>
  </cols>
  <sheetData>
    <row r="1" spans="1:24" ht="43.5" customHeight="1" x14ac:dyDescent="0.35">
      <c r="A1" s="9" t="s">
        <v>786</v>
      </c>
      <c r="B1" s="9"/>
      <c r="C1" s="9"/>
      <c r="D1" s="9"/>
      <c r="E1" s="9"/>
      <c r="F1" s="9"/>
      <c r="G1" s="9"/>
      <c r="H1" s="9"/>
      <c r="I1" s="9"/>
      <c r="J1" s="9"/>
      <c r="K1" s="9"/>
      <c r="L1" s="9"/>
      <c r="M1" s="9"/>
      <c r="N1" s="9"/>
      <c r="O1" s="9"/>
      <c r="P1" s="9"/>
      <c r="Q1" s="9"/>
      <c r="R1" s="9"/>
      <c r="S1" s="9"/>
      <c r="T1" s="9"/>
      <c r="U1" s="9"/>
      <c r="V1" s="9"/>
      <c r="W1" s="9"/>
      <c r="X1" s="9"/>
    </row>
    <row r="2" spans="1:24" ht="18" customHeight="1" x14ac:dyDescent="0.35">
      <c r="A2" s="8" t="s">
        <v>787</v>
      </c>
      <c r="B2" s="8"/>
      <c r="C2" s="8"/>
      <c r="D2" s="8"/>
      <c r="E2" s="8"/>
      <c r="F2" s="8"/>
      <c r="G2" s="8"/>
      <c r="H2" s="8"/>
      <c r="I2" s="8"/>
      <c r="J2" s="8"/>
      <c r="K2" s="8"/>
      <c r="L2" s="8"/>
      <c r="M2" s="8"/>
      <c r="N2" s="8"/>
      <c r="O2" s="8"/>
      <c r="P2" s="8"/>
      <c r="Q2" s="8"/>
      <c r="R2" s="8"/>
      <c r="S2" s="8"/>
      <c r="T2" s="8"/>
      <c r="U2" s="8"/>
      <c r="V2" s="8"/>
      <c r="W2" s="8"/>
      <c r="X2" s="8"/>
    </row>
    <row r="3" spans="1:24" ht="7.5" customHeight="1" x14ac:dyDescent="0.35">
      <c r="A3" s="19"/>
      <c r="B3" s="19"/>
      <c r="C3" s="19"/>
      <c r="D3" s="19"/>
      <c r="E3" s="19"/>
      <c r="F3" s="19"/>
      <c r="G3" s="19"/>
      <c r="H3" s="19"/>
      <c r="I3" s="19"/>
      <c r="J3" s="19"/>
      <c r="K3" s="19"/>
      <c r="L3" s="19"/>
      <c r="M3" s="19"/>
      <c r="N3" s="19"/>
      <c r="O3" s="19"/>
      <c r="P3" s="19"/>
      <c r="Q3" s="19"/>
      <c r="R3" s="19"/>
      <c r="S3" s="19"/>
      <c r="T3" s="19"/>
      <c r="U3" s="19"/>
      <c r="V3" s="19"/>
      <c r="W3" s="19"/>
      <c r="X3" s="19"/>
    </row>
    <row r="4" spans="1:24" ht="19.5" customHeight="1" x14ac:dyDescent="0.35">
      <c r="A4" s="12" t="s">
        <v>788</v>
      </c>
      <c r="B4" s="12"/>
      <c r="C4" s="12"/>
      <c r="D4" s="12"/>
      <c r="E4" s="12"/>
      <c r="F4" s="12"/>
      <c r="H4" s="12" t="s">
        <v>789</v>
      </c>
      <c r="I4" s="12"/>
      <c r="J4" s="12"/>
      <c r="K4" s="12"/>
      <c r="M4" s="12" t="s">
        <v>790</v>
      </c>
      <c r="N4" s="12"/>
      <c r="O4" s="12"/>
      <c r="Q4" s="12" t="s">
        <v>791</v>
      </c>
      <c r="R4" s="12"/>
      <c r="S4" s="12"/>
      <c r="T4" s="7" t="s">
        <v>792</v>
      </c>
      <c r="U4" s="7"/>
      <c r="V4" s="7"/>
      <c r="W4" s="7"/>
      <c r="X4" s="7"/>
    </row>
    <row r="5" spans="1:24" ht="43.5" customHeight="1" x14ac:dyDescent="0.35">
      <c r="B5" s="20" t="s">
        <v>793</v>
      </c>
      <c r="C5" s="22" t="s">
        <v>794</v>
      </c>
      <c r="D5" s="161" t="s">
        <v>795</v>
      </c>
      <c r="E5" s="15" t="s">
        <v>796</v>
      </c>
      <c r="F5" s="162" t="s">
        <v>797</v>
      </c>
      <c r="H5" s="20" t="s">
        <v>798</v>
      </c>
      <c r="I5" s="15" t="s">
        <v>799</v>
      </c>
      <c r="J5" s="15" t="s">
        <v>800</v>
      </c>
      <c r="K5" s="15" t="s">
        <v>801</v>
      </c>
      <c r="M5" s="20" t="s">
        <v>527</v>
      </c>
      <c r="N5" s="20" t="s">
        <v>802</v>
      </c>
      <c r="O5" s="20" t="s">
        <v>803</v>
      </c>
      <c r="Q5" s="20" t="s">
        <v>804</v>
      </c>
      <c r="R5" s="20" t="s">
        <v>805</v>
      </c>
      <c r="S5" s="20" t="s">
        <v>806</v>
      </c>
    </row>
    <row r="6" spans="1:24" ht="15.75" customHeight="1" x14ac:dyDescent="0.35">
      <c r="B6" s="23" t="s">
        <v>807</v>
      </c>
      <c r="C6" s="163"/>
      <c r="D6" s="163"/>
      <c r="E6" s="163"/>
      <c r="F6" s="163"/>
      <c r="H6" s="23" t="s">
        <v>808</v>
      </c>
      <c r="I6" s="71"/>
      <c r="J6" s="71"/>
      <c r="K6" s="71"/>
      <c r="M6" s="23" t="s">
        <v>809</v>
      </c>
      <c r="N6" s="71"/>
      <c r="O6" s="71"/>
      <c r="Q6" s="23" t="s">
        <v>810</v>
      </c>
      <c r="R6" s="163"/>
      <c r="S6" s="71"/>
      <c r="T6" s="327" t="s">
        <v>811</v>
      </c>
      <c r="U6" s="327"/>
      <c r="V6" s="327"/>
      <c r="W6" s="327"/>
      <c r="X6" s="327"/>
    </row>
    <row r="7" spans="1:24" ht="15.75" customHeight="1" x14ac:dyDescent="0.35">
      <c r="B7" s="29" t="s">
        <v>812</v>
      </c>
      <c r="C7" s="164" t="s">
        <v>813</v>
      </c>
      <c r="D7" s="164" t="s">
        <v>814</v>
      </c>
      <c r="E7" s="164" t="s">
        <v>815</v>
      </c>
      <c r="F7" s="72" t="s">
        <v>816</v>
      </c>
      <c r="H7" s="165" t="s">
        <v>817</v>
      </c>
      <c r="I7" s="164" t="s">
        <v>818</v>
      </c>
      <c r="J7" s="164" t="s">
        <v>818</v>
      </c>
      <c r="K7" s="164" t="s">
        <v>819</v>
      </c>
      <c r="M7" s="29" t="s">
        <v>820</v>
      </c>
      <c r="N7" s="72" t="s">
        <v>821</v>
      </c>
      <c r="O7" s="72" t="s">
        <v>822</v>
      </c>
      <c r="Q7" s="166" t="s">
        <v>823</v>
      </c>
      <c r="R7" s="167"/>
      <c r="S7" s="168" t="s">
        <v>824</v>
      </c>
      <c r="T7" s="328" t="s">
        <v>825</v>
      </c>
      <c r="U7" s="328"/>
      <c r="V7" s="328"/>
      <c r="W7" s="328"/>
      <c r="X7" s="328"/>
    </row>
    <row r="8" spans="1:24" ht="15.75" customHeight="1" x14ac:dyDescent="0.35">
      <c r="B8" s="29" t="s">
        <v>826</v>
      </c>
      <c r="C8" s="164" t="s">
        <v>827</v>
      </c>
      <c r="D8" s="164" t="s">
        <v>827</v>
      </c>
      <c r="E8" s="164" t="s">
        <v>827</v>
      </c>
      <c r="F8" s="72" t="s">
        <v>828</v>
      </c>
      <c r="H8" s="29" t="s">
        <v>829</v>
      </c>
      <c r="I8" s="72" t="s">
        <v>830</v>
      </c>
      <c r="J8" s="72" t="s">
        <v>831</v>
      </c>
      <c r="K8" s="72" t="s">
        <v>832</v>
      </c>
      <c r="M8" s="29" t="s">
        <v>833</v>
      </c>
      <c r="N8" s="72" t="s">
        <v>834</v>
      </c>
      <c r="O8" s="72" t="s">
        <v>835</v>
      </c>
      <c r="Q8" s="166" t="s">
        <v>836</v>
      </c>
      <c r="R8" s="167"/>
      <c r="S8" s="168" t="s">
        <v>837</v>
      </c>
      <c r="T8" s="328" t="s">
        <v>838</v>
      </c>
      <c r="U8" s="328"/>
      <c r="V8" s="328"/>
      <c r="W8" s="328"/>
      <c r="X8" s="328"/>
    </row>
    <row r="9" spans="1:24" ht="15.75" customHeight="1" x14ac:dyDescent="0.35">
      <c r="B9" s="29" t="s">
        <v>839</v>
      </c>
      <c r="C9" s="164" t="s">
        <v>840</v>
      </c>
      <c r="D9" s="164" t="s">
        <v>841</v>
      </c>
      <c r="E9" s="164" t="s">
        <v>842</v>
      </c>
      <c r="F9" s="72" t="s">
        <v>843</v>
      </c>
      <c r="H9" s="165" t="s">
        <v>844</v>
      </c>
      <c r="I9" s="164" t="s">
        <v>818</v>
      </c>
      <c r="J9" s="164" t="s">
        <v>818</v>
      </c>
      <c r="K9" s="164" t="s">
        <v>819</v>
      </c>
      <c r="M9" s="69" t="s">
        <v>845</v>
      </c>
      <c r="N9" s="73" t="s">
        <v>846</v>
      </c>
      <c r="O9" s="73" t="s">
        <v>847</v>
      </c>
      <c r="Q9" s="29" t="s">
        <v>848</v>
      </c>
      <c r="R9" s="167"/>
      <c r="S9" s="72" t="s">
        <v>849</v>
      </c>
      <c r="T9" s="328" t="s">
        <v>850</v>
      </c>
      <c r="U9" s="328"/>
      <c r="V9" s="328"/>
      <c r="W9" s="328"/>
      <c r="X9" s="328"/>
    </row>
    <row r="10" spans="1:24" ht="15.75" customHeight="1" x14ac:dyDescent="0.35">
      <c r="B10" s="29" t="s">
        <v>851</v>
      </c>
      <c r="C10" s="164" t="s">
        <v>852</v>
      </c>
      <c r="D10" s="164" t="s">
        <v>852</v>
      </c>
      <c r="E10" s="164" t="s">
        <v>853</v>
      </c>
      <c r="F10" s="72" t="s">
        <v>852</v>
      </c>
      <c r="H10" s="165" t="s">
        <v>854</v>
      </c>
      <c r="I10" s="164" t="s">
        <v>855</v>
      </c>
      <c r="J10" s="164" t="s">
        <v>827</v>
      </c>
      <c r="K10" s="164" t="s">
        <v>856</v>
      </c>
      <c r="M10" s="23" t="s">
        <v>857</v>
      </c>
      <c r="N10" s="71"/>
      <c r="O10" s="71"/>
      <c r="Q10" s="29" t="s">
        <v>858</v>
      </c>
      <c r="R10" s="167"/>
      <c r="S10" s="169" t="s">
        <v>859</v>
      </c>
      <c r="T10" s="328"/>
      <c r="U10" s="328"/>
      <c r="V10" s="328"/>
      <c r="W10" s="328"/>
      <c r="X10" s="328"/>
    </row>
    <row r="11" spans="1:24" ht="15.75" customHeight="1" x14ac:dyDescent="0.35">
      <c r="B11" s="23" t="s">
        <v>860</v>
      </c>
      <c r="C11" s="163"/>
      <c r="D11" s="163"/>
      <c r="E11" s="163"/>
      <c r="F11" s="163"/>
      <c r="H11" s="165" t="s">
        <v>861</v>
      </c>
      <c r="I11" s="164" t="s">
        <v>830</v>
      </c>
      <c r="J11" s="164" t="s">
        <v>830</v>
      </c>
      <c r="K11" s="164" t="s">
        <v>819</v>
      </c>
      <c r="M11" s="29" t="s">
        <v>862</v>
      </c>
      <c r="N11" s="72" t="s">
        <v>863</v>
      </c>
      <c r="O11" s="72" t="s">
        <v>864</v>
      </c>
      <c r="Q11" s="60" t="s">
        <v>865</v>
      </c>
      <c r="R11" s="167"/>
      <c r="S11" s="170" t="s">
        <v>866</v>
      </c>
      <c r="T11" s="327" t="s">
        <v>867</v>
      </c>
      <c r="U11" s="327"/>
      <c r="V11" s="327"/>
      <c r="W11" s="327"/>
      <c r="X11" s="327"/>
    </row>
    <row r="12" spans="1:24" ht="15.75" customHeight="1" x14ac:dyDescent="0.35">
      <c r="B12" s="29" t="s">
        <v>868</v>
      </c>
      <c r="C12" s="164" t="s">
        <v>869</v>
      </c>
      <c r="D12" s="164" t="s">
        <v>869</v>
      </c>
      <c r="E12" s="164" t="s">
        <v>870</v>
      </c>
      <c r="F12" s="72" t="s">
        <v>871</v>
      </c>
      <c r="H12" s="165" t="s">
        <v>872</v>
      </c>
      <c r="I12" s="164" t="s">
        <v>830</v>
      </c>
      <c r="J12" s="164" t="s">
        <v>830</v>
      </c>
      <c r="K12" s="164" t="s">
        <v>819</v>
      </c>
      <c r="M12" s="29" t="s">
        <v>873</v>
      </c>
      <c r="N12" s="72" t="s">
        <v>874</v>
      </c>
      <c r="O12" s="72" t="s">
        <v>875</v>
      </c>
      <c r="Q12" s="23" t="s">
        <v>876</v>
      </c>
      <c r="R12" s="163"/>
      <c r="S12" s="71"/>
      <c r="T12" s="328" t="s">
        <v>877</v>
      </c>
      <c r="U12" s="328"/>
      <c r="V12" s="328"/>
      <c r="W12" s="328"/>
      <c r="X12" s="328"/>
    </row>
    <row r="13" spans="1:24" ht="15.75" customHeight="1" x14ac:dyDescent="0.35">
      <c r="B13" s="29" t="s">
        <v>878</v>
      </c>
      <c r="C13" s="164" t="s">
        <v>879</v>
      </c>
      <c r="D13" s="164" t="s">
        <v>880</v>
      </c>
      <c r="E13" s="164" t="s">
        <v>881</v>
      </c>
      <c r="F13" s="72" t="s">
        <v>882</v>
      </c>
      <c r="H13" s="165" t="s">
        <v>883</v>
      </c>
      <c r="I13" s="164" t="s">
        <v>830</v>
      </c>
      <c r="J13" s="164" t="s">
        <v>830</v>
      </c>
      <c r="K13" s="164" t="s">
        <v>819</v>
      </c>
      <c r="M13" s="23" t="s">
        <v>884</v>
      </c>
      <c r="N13" s="71"/>
      <c r="O13" s="71"/>
      <c r="Q13" s="29" t="s">
        <v>885</v>
      </c>
      <c r="R13" s="167"/>
      <c r="S13" s="72" t="s">
        <v>886</v>
      </c>
      <c r="T13" s="328" t="s">
        <v>887</v>
      </c>
      <c r="U13" s="328"/>
      <c r="V13" s="328"/>
      <c r="W13" s="328"/>
      <c r="X13" s="328"/>
    </row>
    <row r="14" spans="1:24" ht="15.75" customHeight="1" x14ac:dyDescent="0.35">
      <c r="B14" s="29" t="s">
        <v>888</v>
      </c>
      <c r="C14" s="164" t="s">
        <v>827</v>
      </c>
      <c r="D14" s="164" t="s">
        <v>827</v>
      </c>
      <c r="E14" s="164" t="s">
        <v>827</v>
      </c>
      <c r="F14" s="72" t="s">
        <v>889</v>
      </c>
      <c r="H14" s="60" t="s">
        <v>890</v>
      </c>
      <c r="I14" s="73" t="s">
        <v>891</v>
      </c>
      <c r="J14" s="73" t="s">
        <v>827</v>
      </c>
      <c r="K14" s="73" t="s">
        <v>892</v>
      </c>
      <c r="M14" s="165" t="s">
        <v>893</v>
      </c>
      <c r="N14" s="164" t="s">
        <v>894</v>
      </c>
      <c r="O14" s="164" t="s">
        <v>895</v>
      </c>
      <c r="Q14" s="29" t="s">
        <v>896</v>
      </c>
      <c r="R14" s="167"/>
      <c r="S14" s="72" t="s">
        <v>897</v>
      </c>
      <c r="T14" s="328" t="s">
        <v>898</v>
      </c>
      <c r="U14" s="328"/>
      <c r="V14" s="328"/>
      <c r="W14" s="328"/>
      <c r="X14" s="328"/>
    </row>
    <row r="15" spans="1:24" ht="15.75" customHeight="1" x14ac:dyDescent="0.35">
      <c r="B15" s="23" t="s">
        <v>899</v>
      </c>
      <c r="C15" s="163"/>
      <c r="D15" s="163"/>
      <c r="E15" s="163"/>
      <c r="F15" s="163"/>
      <c r="H15" s="60" t="s">
        <v>900</v>
      </c>
      <c r="I15" s="73" t="s">
        <v>891</v>
      </c>
      <c r="J15" s="73" t="s">
        <v>827</v>
      </c>
      <c r="K15" s="73" t="s">
        <v>892</v>
      </c>
      <c r="M15" s="23" t="s">
        <v>901</v>
      </c>
      <c r="N15" s="71"/>
      <c r="O15" s="71"/>
      <c r="Q15" s="166" t="s">
        <v>902</v>
      </c>
      <c r="R15" s="167"/>
      <c r="S15" s="168" t="s">
        <v>903</v>
      </c>
      <c r="T15" s="328" t="s">
        <v>904</v>
      </c>
      <c r="U15" s="328"/>
      <c r="V15" s="328"/>
      <c r="W15" s="328"/>
      <c r="X15" s="328"/>
    </row>
    <row r="16" spans="1:24" ht="15.75" customHeight="1" x14ac:dyDescent="0.35">
      <c r="B16" s="29" t="s">
        <v>905</v>
      </c>
      <c r="C16" s="164" t="s">
        <v>906</v>
      </c>
      <c r="D16" s="164" t="s">
        <v>907</v>
      </c>
      <c r="E16" s="164" t="s">
        <v>906</v>
      </c>
      <c r="F16" s="72" t="s">
        <v>906</v>
      </c>
      <c r="H16" s="23" t="s">
        <v>908</v>
      </c>
      <c r="I16" s="71"/>
      <c r="J16" s="71"/>
      <c r="K16" s="71"/>
      <c r="M16" s="165" t="s">
        <v>909</v>
      </c>
      <c r="N16" s="164" t="s">
        <v>910</v>
      </c>
      <c r="O16" s="164" t="s">
        <v>911</v>
      </c>
      <c r="Q16" s="23" t="s">
        <v>912</v>
      </c>
      <c r="R16" s="163"/>
      <c r="S16" s="71"/>
      <c r="T16" s="328"/>
      <c r="U16" s="328"/>
      <c r="V16" s="328"/>
      <c r="W16" s="328"/>
      <c r="X16" s="328"/>
    </row>
    <row r="17" spans="1:24" ht="15.75" customHeight="1" x14ac:dyDescent="0.35">
      <c r="B17" s="29" t="s">
        <v>913</v>
      </c>
      <c r="C17" s="164" t="s">
        <v>914</v>
      </c>
      <c r="D17" s="164" t="s">
        <v>915</v>
      </c>
      <c r="E17" s="164" t="s">
        <v>915</v>
      </c>
      <c r="F17" s="72" t="s">
        <v>916</v>
      </c>
      <c r="H17" s="165" t="s">
        <v>917</v>
      </c>
      <c r="I17" s="164" t="s">
        <v>918</v>
      </c>
      <c r="J17" s="164" t="s">
        <v>918</v>
      </c>
      <c r="K17" s="164" t="s">
        <v>919</v>
      </c>
      <c r="M17" s="23" t="s">
        <v>920</v>
      </c>
      <c r="N17" s="71"/>
      <c r="O17" s="71"/>
      <c r="Q17" s="165" t="s">
        <v>921</v>
      </c>
      <c r="R17" s="167"/>
      <c r="S17" s="164" t="s">
        <v>922</v>
      </c>
      <c r="T17" s="327" t="s">
        <v>923</v>
      </c>
      <c r="U17" s="327"/>
      <c r="V17" s="327"/>
      <c r="W17" s="327"/>
      <c r="X17" s="327"/>
    </row>
    <row r="18" spans="1:24" ht="15.75" customHeight="1" x14ac:dyDescent="0.35">
      <c r="B18" s="29" t="s">
        <v>924</v>
      </c>
      <c r="C18" s="164" t="s">
        <v>925</v>
      </c>
      <c r="D18" s="164" t="s">
        <v>926</v>
      </c>
      <c r="E18" s="164" t="s">
        <v>927</v>
      </c>
      <c r="F18" s="72" t="s">
        <v>928</v>
      </c>
      <c r="H18" s="165" t="s">
        <v>929</v>
      </c>
      <c r="I18" s="164" t="s">
        <v>918</v>
      </c>
      <c r="J18" s="164" t="s">
        <v>930</v>
      </c>
      <c r="K18" s="164" t="s">
        <v>856</v>
      </c>
      <c r="M18" s="165" t="s">
        <v>931</v>
      </c>
      <c r="N18" s="164" t="s">
        <v>932</v>
      </c>
      <c r="O18" s="164" t="s">
        <v>933</v>
      </c>
      <c r="Q18" s="166" t="s">
        <v>934</v>
      </c>
      <c r="R18" s="167"/>
      <c r="S18" s="168" t="s">
        <v>935</v>
      </c>
      <c r="T18" s="328" t="s">
        <v>936</v>
      </c>
      <c r="U18" s="328"/>
      <c r="V18" s="328"/>
      <c r="W18" s="328"/>
      <c r="X18" s="328"/>
    </row>
    <row r="19" spans="1:24" ht="15.75" customHeight="1" x14ac:dyDescent="0.35">
      <c r="B19" s="29" t="s">
        <v>937</v>
      </c>
      <c r="C19" s="164" t="s">
        <v>827</v>
      </c>
      <c r="D19" s="164" t="s">
        <v>938</v>
      </c>
      <c r="E19" s="164" t="s">
        <v>939</v>
      </c>
      <c r="F19" s="72" t="s">
        <v>940</v>
      </c>
      <c r="H19" s="165" t="s">
        <v>941</v>
      </c>
      <c r="I19" s="164" t="s">
        <v>918</v>
      </c>
      <c r="J19" s="164" t="s">
        <v>942</v>
      </c>
      <c r="K19" s="164" t="s">
        <v>943</v>
      </c>
      <c r="M19" s="171" t="s">
        <v>944</v>
      </c>
      <c r="N19" s="172"/>
      <c r="O19" s="172"/>
      <c r="Q19" s="29" t="s">
        <v>945</v>
      </c>
      <c r="R19" s="167"/>
      <c r="S19" s="72" t="s">
        <v>946</v>
      </c>
      <c r="T19" s="328" t="s">
        <v>947</v>
      </c>
      <c r="U19" s="328"/>
      <c r="V19" s="328"/>
      <c r="W19" s="328"/>
      <c r="X19" s="328"/>
    </row>
    <row r="20" spans="1:24" ht="15.75" customHeight="1" x14ac:dyDescent="0.35">
      <c r="B20" s="23" t="s">
        <v>948</v>
      </c>
      <c r="C20" s="163"/>
      <c r="D20" s="163"/>
      <c r="E20" s="163"/>
      <c r="F20" s="163"/>
      <c r="H20" s="23" t="s">
        <v>949</v>
      </c>
      <c r="I20" s="71"/>
      <c r="J20" s="71"/>
      <c r="K20" s="71"/>
      <c r="M20" s="69" t="s">
        <v>950</v>
      </c>
      <c r="N20" s="73" t="s">
        <v>951</v>
      </c>
      <c r="O20" s="73" t="s">
        <v>952</v>
      </c>
      <c r="Q20" s="60" t="s">
        <v>953</v>
      </c>
      <c r="R20" s="167"/>
      <c r="S20" s="170" t="s">
        <v>954</v>
      </c>
      <c r="T20" s="328" t="s">
        <v>955</v>
      </c>
      <c r="U20" s="328"/>
      <c r="V20" s="328"/>
      <c r="W20" s="328"/>
      <c r="X20" s="328"/>
    </row>
    <row r="21" spans="1:24" ht="15.75" customHeight="1" x14ac:dyDescent="0.35">
      <c r="B21" s="29" t="s">
        <v>956</v>
      </c>
      <c r="C21" s="164" t="s">
        <v>957</v>
      </c>
      <c r="D21" s="164" t="s">
        <v>957</v>
      </c>
      <c r="E21" s="164" t="s">
        <v>958</v>
      </c>
      <c r="F21" s="72" t="s">
        <v>959</v>
      </c>
      <c r="H21" s="165" t="s">
        <v>960</v>
      </c>
      <c r="I21" s="164" t="s">
        <v>961</v>
      </c>
      <c r="J21" s="164" t="s">
        <v>962</v>
      </c>
      <c r="K21" s="164" t="s">
        <v>963</v>
      </c>
      <c r="M21" s="69" t="s">
        <v>964</v>
      </c>
      <c r="N21" s="73" t="s">
        <v>965</v>
      </c>
      <c r="O21" s="73" t="s">
        <v>966</v>
      </c>
      <c r="Q21" s="60" t="s">
        <v>967</v>
      </c>
      <c r="R21" s="167"/>
      <c r="S21" s="170" t="s">
        <v>968</v>
      </c>
      <c r="T21" s="328"/>
      <c r="U21" s="328"/>
      <c r="V21" s="328"/>
      <c r="W21" s="328"/>
      <c r="X21" s="328"/>
    </row>
    <row r="22" spans="1:24" ht="15.75" customHeight="1" x14ac:dyDescent="0.35">
      <c r="B22" s="60" t="s">
        <v>969</v>
      </c>
      <c r="C22" s="73" t="s">
        <v>970</v>
      </c>
      <c r="D22" s="73" t="s">
        <v>970</v>
      </c>
      <c r="E22" s="73" t="s">
        <v>971</v>
      </c>
      <c r="F22" s="73" t="s">
        <v>970</v>
      </c>
      <c r="H22" s="165" t="s">
        <v>972</v>
      </c>
      <c r="I22" s="164" t="s">
        <v>973</v>
      </c>
      <c r="J22" s="164" t="s">
        <v>974</v>
      </c>
      <c r="K22" s="164" t="s">
        <v>975</v>
      </c>
      <c r="M22" s="171" t="s">
        <v>976</v>
      </c>
      <c r="N22" s="172"/>
      <c r="O22" s="172"/>
      <c r="Q22" s="23" t="s">
        <v>977</v>
      </c>
      <c r="R22" s="163"/>
      <c r="S22" s="71"/>
      <c r="T22" s="327" t="s">
        <v>978</v>
      </c>
      <c r="U22" s="327"/>
      <c r="V22" s="327"/>
      <c r="W22" s="327"/>
      <c r="X22" s="327"/>
    </row>
    <row r="23" spans="1:24" ht="15.75" customHeight="1" x14ac:dyDescent="0.35">
      <c r="B23" s="29" t="s">
        <v>979</v>
      </c>
      <c r="C23" s="164" t="s">
        <v>980</v>
      </c>
      <c r="D23" s="164" t="s">
        <v>981</v>
      </c>
      <c r="E23" s="164" t="s">
        <v>982</v>
      </c>
      <c r="F23" s="72" t="s">
        <v>983</v>
      </c>
      <c r="H23" s="60" t="s">
        <v>984</v>
      </c>
      <c r="I23" s="73" t="s">
        <v>985</v>
      </c>
      <c r="J23" s="73" t="s">
        <v>974</v>
      </c>
      <c r="K23" s="73" t="s">
        <v>986</v>
      </c>
      <c r="M23" s="69" t="s">
        <v>987</v>
      </c>
      <c r="N23" s="73" t="s">
        <v>988</v>
      </c>
      <c r="O23" s="73" t="s">
        <v>989</v>
      </c>
      <c r="Q23" s="166" t="s">
        <v>990</v>
      </c>
      <c r="R23" s="167"/>
      <c r="S23" s="168" t="s">
        <v>991</v>
      </c>
      <c r="T23" s="328" t="s">
        <v>992</v>
      </c>
      <c r="U23" s="328"/>
      <c r="V23" s="328"/>
      <c r="W23" s="328"/>
      <c r="X23" s="328"/>
    </row>
    <row r="24" spans="1:24" ht="15.75" customHeight="1" x14ac:dyDescent="0.35">
      <c r="B24" s="23" t="s">
        <v>993</v>
      </c>
      <c r="C24" s="163"/>
      <c r="D24" s="163"/>
      <c r="E24" s="163"/>
      <c r="F24" s="163"/>
      <c r="Q24" s="29" t="s">
        <v>994</v>
      </c>
      <c r="R24" s="167"/>
      <c r="S24" s="72" t="s">
        <v>995</v>
      </c>
      <c r="T24" s="328" t="s">
        <v>996</v>
      </c>
      <c r="U24" s="328"/>
      <c r="V24" s="328"/>
      <c r="W24" s="328"/>
      <c r="X24" s="328"/>
    </row>
    <row r="25" spans="1:24" ht="15.75" customHeight="1" x14ac:dyDescent="0.35">
      <c r="A25" s="19"/>
      <c r="B25" s="173" t="s">
        <v>997</v>
      </c>
      <c r="C25" s="128" t="s">
        <v>998</v>
      </c>
      <c r="D25" s="128" t="s">
        <v>999</v>
      </c>
      <c r="E25" s="128" t="s">
        <v>1000</v>
      </c>
      <c r="F25" s="128" t="s">
        <v>1001</v>
      </c>
      <c r="G25" s="19"/>
      <c r="H25" s="19"/>
      <c r="I25" s="19"/>
      <c r="J25" s="19"/>
      <c r="K25" s="19"/>
      <c r="L25" s="19"/>
      <c r="M25" s="19"/>
      <c r="N25" s="19"/>
      <c r="O25" s="19"/>
      <c r="P25" s="19"/>
      <c r="Q25" s="23" t="s">
        <v>1002</v>
      </c>
      <c r="R25" s="163"/>
      <c r="S25" s="71"/>
      <c r="T25" s="328" t="s">
        <v>1003</v>
      </c>
      <c r="U25" s="328"/>
      <c r="V25" s="328"/>
      <c r="W25" s="328"/>
      <c r="X25" s="328"/>
    </row>
    <row r="26" spans="1:24" ht="15.75" customHeight="1" x14ac:dyDescent="0.35">
      <c r="B26" s="29" t="s">
        <v>1004</v>
      </c>
      <c r="C26" s="164" t="s">
        <v>1005</v>
      </c>
      <c r="D26" s="164" t="s">
        <v>1006</v>
      </c>
      <c r="E26" s="164" t="s">
        <v>214</v>
      </c>
      <c r="F26" s="72" t="s">
        <v>1007</v>
      </c>
      <c r="H26" s="7" t="s">
        <v>1008</v>
      </c>
      <c r="I26" s="7"/>
      <c r="J26" s="7"/>
      <c r="K26" s="7"/>
      <c r="Q26" s="29" t="s">
        <v>1009</v>
      </c>
      <c r="R26" s="167"/>
      <c r="S26" s="72" t="s">
        <v>1010</v>
      </c>
      <c r="T26" s="328"/>
      <c r="U26" s="328"/>
      <c r="V26" s="328"/>
      <c r="W26" s="328"/>
      <c r="X26" s="328"/>
    </row>
    <row r="27" spans="1:24" ht="15.75" customHeight="1" x14ac:dyDescent="0.35">
      <c r="B27" s="125" t="s">
        <v>1011</v>
      </c>
      <c r="C27" s="174"/>
      <c r="D27" s="174"/>
      <c r="E27" s="174"/>
      <c r="F27" s="174"/>
      <c r="H27" s="15" t="s">
        <v>1012</v>
      </c>
      <c r="I27" s="15" t="s">
        <v>1013</v>
      </c>
      <c r="J27" s="15" t="s">
        <v>1014</v>
      </c>
      <c r="K27" s="15" t="s">
        <v>1015</v>
      </c>
      <c r="Q27" s="60" t="s">
        <v>1016</v>
      </c>
      <c r="R27" s="167"/>
      <c r="S27" s="170" t="s">
        <v>1017</v>
      </c>
      <c r="T27" s="327" t="s">
        <v>1018</v>
      </c>
      <c r="U27" s="327"/>
      <c r="V27" s="327"/>
      <c r="W27" s="327"/>
      <c r="X27" s="327"/>
    </row>
    <row r="28" spans="1:24" ht="15.75" customHeight="1" x14ac:dyDescent="0.35">
      <c r="B28" s="69" t="s">
        <v>1019</v>
      </c>
      <c r="C28" s="73" t="s">
        <v>1020</v>
      </c>
      <c r="D28" s="73" t="s">
        <v>1021</v>
      </c>
      <c r="E28" s="73" t="s">
        <v>1022</v>
      </c>
      <c r="F28" s="73" t="s">
        <v>1023</v>
      </c>
      <c r="H28" s="23" t="s">
        <v>1024</v>
      </c>
      <c r="I28" s="71"/>
      <c r="J28" s="71"/>
      <c r="K28" s="71"/>
      <c r="Q28" s="29" t="s">
        <v>1025</v>
      </c>
      <c r="R28" s="167"/>
      <c r="S28" s="72" t="s">
        <v>1026</v>
      </c>
      <c r="T28" s="328" t="s">
        <v>1027</v>
      </c>
      <c r="U28" s="328"/>
      <c r="V28" s="328"/>
      <c r="W28" s="328"/>
      <c r="X28" s="328"/>
    </row>
    <row r="29" spans="1:24" ht="15.75" customHeight="1" x14ac:dyDescent="0.35">
      <c r="H29" s="165" t="s">
        <v>1028</v>
      </c>
      <c r="I29" s="164" t="s">
        <v>1029</v>
      </c>
      <c r="J29" s="164" t="s">
        <v>1030</v>
      </c>
      <c r="K29" s="164" t="s">
        <v>1031</v>
      </c>
      <c r="T29" s="328" t="s">
        <v>1032</v>
      </c>
      <c r="U29" s="328"/>
      <c r="V29" s="328"/>
      <c r="W29" s="328"/>
      <c r="X29" s="328"/>
    </row>
    <row r="30" spans="1:24" ht="15.75" customHeight="1" x14ac:dyDescent="0.35">
      <c r="A30" s="19"/>
      <c r="B30" s="19"/>
      <c r="C30" s="19"/>
      <c r="D30" s="19"/>
      <c r="E30" s="19"/>
      <c r="F30" s="19"/>
      <c r="G30" s="19"/>
      <c r="H30" s="165" t="s">
        <v>868</v>
      </c>
      <c r="I30" s="164" t="s">
        <v>1033</v>
      </c>
      <c r="J30" s="164" t="s">
        <v>1034</v>
      </c>
      <c r="K30" s="164" t="s">
        <v>1035</v>
      </c>
      <c r="L30" s="19"/>
      <c r="M30" s="19"/>
      <c r="N30" s="19"/>
      <c r="O30" s="19"/>
      <c r="P30" s="19"/>
      <c r="Q30" s="19"/>
      <c r="R30" s="19"/>
      <c r="S30" s="19"/>
      <c r="T30" s="328" t="s">
        <v>1036</v>
      </c>
      <c r="U30" s="328"/>
      <c r="V30" s="328"/>
      <c r="W30" s="328"/>
      <c r="X30" s="328"/>
    </row>
    <row r="31" spans="1:24" ht="21.75" customHeight="1" x14ac:dyDescent="0.35">
      <c r="A31" s="12" t="s">
        <v>1037</v>
      </c>
      <c r="B31" s="12"/>
      <c r="C31" s="12"/>
      <c r="D31" s="12"/>
      <c r="E31" s="12"/>
      <c r="F31" s="12"/>
      <c r="H31" s="165" t="s">
        <v>1038</v>
      </c>
      <c r="I31" s="164" t="s">
        <v>1039</v>
      </c>
      <c r="J31" s="164" t="s">
        <v>1040</v>
      </c>
      <c r="K31" s="164" t="s">
        <v>1041</v>
      </c>
    </row>
    <row r="32" spans="1:24" ht="21.75" customHeight="1" x14ac:dyDescent="0.35">
      <c r="B32" s="20" t="s">
        <v>1042</v>
      </c>
      <c r="C32" s="161" t="s">
        <v>1043</v>
      </c>
      <c r="D32" s="161" t="s">
        <v>1044</v>
      </c>
      <c r="E32" s="22" t="s">
        <v>1045</v>
      </c>
      <c r="F32" s="22" t="s">
        <v>1046</v>
      </c>
      <c r="H32" s="23" t="s">
        <v>1047</v>
      </c>
      <c r="I32" s="71"/>
      <c r="J32" s="71"/>
      <c r="K32" s="71"/>
    </row>
    <row r="33" spans="1:24" ht="21.75" customHeight="1" x14ac:dyDescent="0.35">
      <c r="B33" s="25" t="s">
        <v>1048</v>
      </c>
      <c r="C33" s="26">
        <v>500000</v>
      </c>
      <c r="D33" s="28"/>
      <c r="E33" s="28"/>
      <c r="F33" s="28"/>
      <c r="H33" s="165" t="s">
        <v>1049</v>
      </c>
      <c r="I33" s="164" t="s">
        <v>1050</v>
      </c>
      <c r="J33" s="164" t="s">
        <v>1051</v>
      </c>
      <c r="K33" s="164" t="s">
        <v>1052</v>
      </c>
    </row>
    <row r="34" spans="1:24" ht="21.75" customHeight="1" x14ac:dyDescent="0.35">
      <c r="B34" s="25" t="s">
        <v>1053</v>
      </c>
      <c r="C34" s="35">
        <v>0.3</v>
      </c>
      <c r="D34" s="28"/>
      <c r="E34" s="28"/>
      <c r="F34" s="28"/>
      <c r="H34" s="165" t="s">
        <v>1054</v>
      </c>
      <c r="I34" s="164" t="s">
        <v>1055</v>
      </c>
      <c r="J34" s="164" t="s">
        <v>1056</v>
      </c>
      <c r="K34" s="164" t="s">
        <v>1057</v>
      </c>
    </row>
    <row r="35" spans="1:24" ht="21.75" customHeight="1" x14ac:dyDescent="0.35">
      <c r="B35" s="25" t="s">
        <v>1058</v>
      </c>
      <c r="C35" s="35">
        <v>0.7</v>
      </c>
      <c r="D35" s="28"/>
      <c r="E35" s="28"/>
      <c r="F35" s="28"/>
      <c r="H35" s="125" t="s">
        <v>1059</v>
      </c>
      <c r="I35" s="73"/>
      <c r="J35" s="73"/>
      <c r="K35" s="73"/>
    </row>
    <row r="36" spans="1:24" ht="21.75" customHeight="1" x14ac:dyDescent="0.35">
      <c r="B36" s="25" t="s">
        <v>1060</v>
      </c>
      <c r="C36" s="35">
        <v>0</v>
      </c>
      <c r="D36" s="28"/>
      <c r="E36" s="28"/>
      <c r="F36" s="28"/>
      <c r="H36" s="60" t="s">
        <v>1061</v>
      </c>
      <c r="I36" s="73" t="s">
        <v>1062</v>
      </c>
      <c r="J36" s="73" t="s">
        <v>1063</v>
      </c>
      <c r="K36" s="73" t="s">
        <v>1064</v>
      </c>
    </row>
    <row r="37" spans="1:24" ht="21.75" customHeight="1" x14ac:dyDescent="0.35">
      <c r="B37" s="25" t="s">
        <v>1065</v>
      </c>
      <c r="C37" s="35">
        <v>0.02</v>
      </c>
      <c r="D37" s="28"/>
      <c r="E37" s="28"/>
      <c r="F37" s="28"/>
      <c r="H37" s="60" t="s">
        <v>1066</v>
      </c>
      <c r="I37" s="73" t="s">
        <v>1067</v>
      </c>
      <c r="J37" s="73" t="s">
        <v>1068</v>
      </c>
      <c r="K37" s="73" t="s">
        <v>1069</v>
      </c>
    </row>
    <row r="38" spans="1:24" ht="21.75" customHeight="1" x14ac:dyDescent="0.35">
      <c r="B38" s="27" t="s">
        <v>1070</v>
      </c>
      <c r="C38" s="329" t="str">
        <f>IF(ABS(C34+C35+C36-1)&lt;0.001,"✅ = 100% OK","❌ Must sum to 100%")</f>
        <v>✅ = 100% OK</v>
      </c>
      <c r="D38" s="329"/>
      <c r="E38" s="329"/>
      <c r="F38" s="329"/>
      <c r="H38" s="60" t="s">
        <v>1071</v>
      </c>
      <c r="I38" s="73" t="s">
        <v>1072</v>
      </c>
      <c r="J38" s="73" t="s">
        <v>1073</v>
      </c>
      <c r="K38" s="73" t="s">
        <v>1074</v>
      </c>
    </row>
    <row r="39" spans="1:24" ht="21.75" customHeight="1" x14ac:dyDescent="0.35">
      <c r="A39" s="19"/>
      <c r="B39" s="19"/>
      <c r="C39" s="19"/>
      <c r="D39" s="19"/>
      <c r="E39" s="19"/>
      <c r="F39" s="19"/>
      <c r="G39" s="19"/>
      <c r="H39" s="23" t="s">
        <v>1075</v>
      </c>
      <c r="I39" s="71"/>
      <c r="J39" s="71"/>
      <c r="K39" s="71"/>
      <c r="L39" s="19"/>
      <c r="M39" s="19"/>
      <c r="N39" s="19"/>
      <c r="O39" s="19"/>
      <c r="P39" s="19"/>
      <c r="Q39" s="19"/>
      <c r="R39" s="19"/>
      <c r="S39" s="19"/>
      <c r="T39" s="19"/>
      <c r="U39" s="19"/>
      <c r="V39" s="19"/>
      <c r="W39" s="19"/>
      <c r="X39" s="19"/>
    </row>
    <row r="40" spans="1:24" ht="21.75" customHeight="1" x14ac:dyDescent="0.35">
      <c r="B40" s="5" t="s">
        <v>1076</v>
      </c>
      <c r="C40" s="5"/>
      <c r="D40" s="5"/>
      <c r="E40" s="5"/>
      <c r="F40" s="5"/>
      <c r="H40" s="165" t="s">
        <v>1077</v>
      </c>
      <c r="I40" s="164" t="s">
        <v>1078</v>
      </c>
      <c r="J40" s="164" t="s">
        <v>1079</v>
      </c>
      <c r="K40" s="164" t="s">
        <v>1080</v>
      </c>
    </row>
    <row r="41" spans="1:24" ht="21.75" customHeight="1" x14ac:dyDescent="0.35">
      <c r="B41" s="165" t="s">
        <v>1081</v>
      </c>
      <c r="C41" s="175">
        <f>$C$33*$C$34</f>
        <v>150000</v>
      </c>
      <c r="D41" s="175">
        <f>$C$33*$C$34</f>
        <v>150000</v>
      </c>
      <c r="E41" s="175">
        <f>$C$33*$C$34</f>
        <v>150000</v>
      </c>
      <c r="F41" s="175">
        <f>$C$33*$C$34</f>
        <v>150000</v>
      </c>
      <c r="H41" s="165" t="s">
        <v>1082</v>
      </c>
      <c r="I41" s="164" t="s">
        <v>915</v>
      </c>
      <c r="J41" s="164" t="s">
        <v>1083</v>
      </c>
      <c r="K41" s="164" t="s">
        <v>1084</v>
      </c>
    </row>
    <row r="42" spans="1:24" ht="21.75" customHeight="1" x14ac:dyDescent="0.35">
      <c r="B42" s="29" t="s">
        <v>1085</v>
      </c>
      <c r="C42" s="52">
        <f>$C$33*$C$35</f>
        <v>350000</v>
      </c>
      <c r="D42" s="52">
        <f>$C$33*$C$35</f>
        <v>350000</v>
      </c>
      <c r="E42" s="52">
        <f>$C$33*$C$35</f>
        <v>350000</v>
      </c>
      <c r="F42" s="52">
        <f>$C$33*$C$35</f>
        <v>350000</v>
      </c>
      <c r="H42" s="165" t="s">
        <v>1086</v>
      </c>
      <c r="I42" s="164" t="s">
        <v>1087</v>
      </c>
      <c r="J42" s="164" t="s">
        <v>1088</v>
      </c>
      <c r="K42" s="164" t="s">
        <v>1089</v>
      </c>
    </row>
    <row r="43" spans="1:24" ht="21.75" customHeight="1" x14ac:dyDescent="0.35">
      <c r="B43" s="29" t="s">
        <v>1090</v>
      </c>
      <c r="C43" s="52">
        <f>$C$33*$C$36</f>
        <v>0</v>
      </c>
      <c r="D43" s="52">
        <f>$C$33*$C$36</f>
        <v>0</v>
      </c>
      <c r="E43" s="52">
        <f>$C$33*$C$36</f>
        <v>0</v>
      </c>
      <c r="F43" s="52">
        <f>$C$33*$C$36</f>
        <v>0</v>
      </c>
      <c r="H43" s="23" t="s">
        <v>1091</v>
      </c>
      <c r="I43" s="71"/>
      <c r="J43" s="71"/>
      <c r="K43" s="71"/>
    </row>
    <row r="44" spans="1:24" ht="21.75" customHeight="1" x14ac:dyDescent="0.35">
      <c r="B44" s="166" t="s">
        <v>1092</v>
      </c>
      <c r="C44" s="175">
        <f>0</f>
        <v>0</v>
      </c>
      <c r="D44" s="175">
        <f>0</f>
        <v>0</v>
      </c>
      <c r="E44" s="175">
        <f>$C$33*$C$35*0.15</f>
        <v>52500</v>
      </c>
      <c r="F44" s="175">
        <f>$C$33*$C$35*0.15</f>
        <v>52500</v>
      </c>
      <c r="H44" s="69" t="s">
        <v>1093</v>
      </c>
      <c r="I44" s="73" t="s">
        <v>1094</v>
      </c>
      <c r="J44" s="73" t="s">
        <v>1095</v>
      </c>
      <c r="K44" s="73" t="s">
        <v>1096</v>
      </c>
    </row>
    <row r="45" spans="1:24" ht="21.75" customHeight="1" x14ac:dyDescent="0.35">
      <c r="B45" s="166" t="s">
        <v>1097</v>
      </c>
      <c r="C45" s="175">
        <f>0</f>
        <v>0</v>
      </c>
      <c r="D45" s="175">
        <f>0</f>
        <v>0</v>
      </c>
      <c r="E45" s="175">
        <f>$C$33*$C$36*0.3</f>
        <v>0</v>
      </c>
      <c r="F45" s="175">
        <f>$C$33*$C$36*0.3</f>
        <v>0</v>
      </c>
      <c r="H45" s="29" t="s">
        <v>1098</v>
      </c>
      <c r="I45" s="72" t="s">
        <v>1099</v>
      </c>
      <c r="J45" s="72" t="s">
        <v>1100</v>
      </c>
      <c r="K45" s="72" t="s">
        <v>1101</v>
      </c>
    </row>
    <row r="46" spans="1:24" ht="18" customHeight="1" x14ac:dyDescent="0.35">
      <c r="B46" s="166" t="s">
        <v>1102</v>
      </c>
      <c r="C46" s="175">
        <f>0</f>
        <v>0</v>
      </c>
      <c r="D46" s="175">
        <f>0</f>
        <v>0</v>
      </c>
      <c r="E46" s="175">
        <f>($C$33*$C$35*0.15+$C$33*$C$36*0.3)*$C$37/0.15</f>
        <v>7000</v>
      </c>
      <c r="F46" s="175">
        <f>($C$33*$C$35*0.15+$C$33*$C$36*0.3)*$C$37/0.15</f>
        <v>7000</v>
      </c>
    </row>
    <row r="47" spans="1:24" ht="18" customHeight="1" x14ac:dyDescent="0.35">
      <c r="B47" s="171" t="s">
        <v>1103</v>
      </c>
      <c r="C47" s="176">
        <f>C44+C45+C46</f>
        <v>0</v>
      </c>
      <c r="D47" s="176">
        <f>D44+D45+D46</f>
        <v>0</v>
      </c>
      <c r="E47" s="176">
        <f>E44+E45+E46</f>
        <v>59500</v>
      </c>
      <c r="F47" s="176">
        <f>F44+F45+F46</f>
        <v>59500</v>
      </c>
    </row>
    <row r="48" spans="1:24" ht="18" customHeight="1" x14ac:dyDescent="0.35">
      <c r="B48" s="57" t="s">
        <v>1104</v>
      </c>
      <c r="C48" s="58">
        <f>$C$33-C47</f>
        <v>500000</v>
      </c>
      <c r="D48" s="58">
        <f>$C$33-D47</f>
        <v>500000</v>
      </c>
      <c r="E48" s="58">
        <f>$C$33-E47</f>
        <v>440500</v>
      </c>
      <c r="F48" s="58">
        <f>$C$33-F47</f>
        <v>440500</v>
      </c>
    </row>
    <row r="49" spans="1:24" ht="18" customHeight="1" x14ac:dyDescent="0.35">
      <c r="B49" s="29" t="s">
        <v>1105</v>
      </c>
      <c r="C49" s="49">
        <f>IF($C$33&gt;0,C47/$C$33,0)</f>
        <v>0</v>
      </c>
      <c r="D49" s="49">
        <f>IF($C$33&gt;0,D47/$C$33,0)</f>
        <v>0</v>
      </c>
      <c r="E49" s="49">
        <f>IF($C$33&gt;0,E47/$C$33,0)</f>
        <v>0.11899999999999999</v>
      </c>
      <c r="F49" s="49">
        <f>IF($C$33&gt;0,F47/$C$33,0)</f>
        <v>0.11899999999999999</v>
      </c>
    </row>
    <row r="51" spans="1:24" ht="6" customHeight="1"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row>
    <row r="52" spans="1:24" ht="19.5" customHeight="1" x14ac:dyDescent="0.35">
      <c r="A52" s="12" t="s">
        <v>1106</v>
      </c>
      <c r="B52" s="12"/>
      <c r="C52" s="12"/>
      <c r="D52" s="12"/>
      <c r="E52" s="12"/>
      <c r="F52" s="12"/>
    </row>
    <row r="53" spans="1:24" ht="15" customHeight="1" x14ac:dyDescent="0.35">
      <c r="C53" t="s">
        <v>1107</v>
      </c>
      <c r="D53" t="s">
        <v>1108</v>
      </c>
      <c r="E53" t="s">
        <v>1109</v>
      </c>
      <c r="F53" t="s">
        <v>1110</v>
      </c>
    </row>
    <row r="54" spans="1:24" ht="15" customHeight="1" x14ac:dyDescent="0.35">
      <c r="C54" s="120">
        <f t="shared" ref="C54:F55" si="0">C47</f>
        <v>0</v>
      </c>
      <c r="D54" s="120">
        <f t="shared" si="0"/>
        <v>0</v>
      </c>
      <c r="E54" s="120">
        <f t="shared" si="0"/>
        <v>59500</v>
      </c>
      <c r="F54" s="120">
        <f t="shared" si="0"/>
        <v>59500</v>
      </c>
    </row>
    <row r="55" spans="1:24" ht="15" customHeight="1" x14ac:dyDescent="0.35">
      <c r="C55" s="120">
        <f t="shared" si="0"/>
        <v>500000</v>
      </c>
      <c r="D55" s="120">
        <f t="shared" si="0"/>
        <v>500000</v>
      </c>
      <c r="E55" s="120">
        <f t="shared" si="0"/>
        <v>440500</v>
      </c>
      <c r="F55" s="120">
        <f t="shared" si="0"/>
        <v>440500</v>
      </c>
    </row>
    <row r="70" spans="1:24" ht="36" customHeight="1" x14ac:dyDescent="0.35">
      <c r="A70" s="2" t="s">
        <v>1111</v>
      </c>
      <c r="B70" s="2"/>
      <c r="C70" s="2"/>
      <c r="D70" s="2"/>
      <c r="E70" s="2"/>
      <c r="F70" s="2"/>
      <c r="G70" s="2"/>
      <c r="H70" s="2"/>
      <c r="I70" s="2"/>
      <c r="J70" s="2"/>
      <c r="K70" s="2"/>
      <c r="L70" s="2"/>
      <c r="M70" s="2"/>
      <c r="N70" s="2"/>
      <c r="O70" s="2"/>
      <c r="P70" s="2"/>
      <c r="Q70" s="2"/>
      <c r="R70" s="2"/>
      <c r="S70" s="2"/>
      <c r="T70" s="2"/>
      <c r="U70" s="2"/>
      <c r="V70" s="2"/>
      <c r="W70" s="2"/>
      <c r="X70" s="2"/>
    </row>
  </sheetData>
  <mergeCells count="38">
    <mergeCell ref="A70:X70"/>
    <mergeCell ref="T30:X30"/>
    <mergeCell ref="A31:F31"/>
    <mergeCell ref="C38:F38"/>
    <mergeCell ref="B40:F40"/>
    <mergeCell ref="A52:F52"/>
    <mergeCell ref="H26:K26"/>
    <mergeCell ref="T26:X26"/>
    <mergeCell ref="T27:X27"/>
    <mergeCell ref="T28:X28"/>
    <mergeCell ref="T29:X29"/>
    <mergeCell ref="T21:X21"/>
    <mergeCell ref="T22:X22"/>
    <mergeCell ref="T23:X23"/>
    <mergeCell ref="T24:X24"/>
    <mergeCell ref="T25:X25"/>
    <mergeCell ref="T16:X16"/>
    <mergeCell ref="T17:X17"/>
    <mergeCell ref="T18:X18"/>
    <mergeCell ref="T19:X19"/>
    <mergeCell ref="T20:X20"/>
    <mergeCell ref="T11:X11"/>
    <mergeCell ref="T12:X12"/>
    <mergeCell ref="T13:X13"/>
    <mergeCell ref="T14:X14"/>
    <mergeCell ref="T15:X15"/>
    <mergeCell ref="T6:X6"/>
    <mergeCell ref="T7:X7"/>
    <mergeCell ref="T8:X8"/>
    <mergeCell ref="T9:X9"/>
    <mergeCell ref="T10:X10"/>
    <mergeCell ref="A1:X1"/>
    <mergeCell ref="A2:X2"/>
    <mergeCell ref="A4:F4"/>
    <mergeCell ref="H4:K4"/>
    <mergeCell ref="M4:O4"/>
    <mergeCell ref="Q4:S4"/>
    <mergeCell ref="T4:X4"/>
  </mergeCells>
  <pageMargins left="0.75" right="0.75" top="1" bottom="1" header="0.511811023622047" footer="0.511811023622047"/>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A8C6B"/>
  </sheetPr>
  <dimension ref="A1:X67"/>
  <sheetViews>
    <sheetView showGridLines="0" zoomScaleNormal="100" workbookViewId="0">
      <pane xSplit="2" ySplit="4" topLeftCell="C59" activePane="bottomRight" state="frozen"/>
      <selection pane="topRight" activeCell="C1" sqref="C1"/>
      <selection pane="bottomLeft" activeCell="A59" sqref="A59"/>
      <selection pane="bottomRight"/>
    </sheetView>
  </sheetViews>
  <sheetFormatPr defaultColWidth="8.6328125" defaultRowHeight="14.5" x14ac:dyDescent="0.35"/>
  <cols>
    <col min="1" max="1" width="2" customWidth="1"/>
    <col min="2" max="2" width="30" customWidth="1"/>
    <col min="3" max="6" width="14" customWidth="1"/>
    <col min="7" max="7" width="2" customWidth="1"/>
    <col min="8" max="8" width="30" customWidth="1"/>
    <col min="9" max="11" width="14" customWidth="1"/>
    <col min="12" max="12" width="2" customWidth="1"/>
    <col min="13" max="13" width="30" customWidth="1"/>
    <col min="14" max="15" width="14" customWidth="1"/>
    <col min="16" max="16" width="2" customWidth="1"/>
    <col min="17" max="17" width="30" customWidth="1"/>
    <col min="18" max="18" width="14" customWidth="1"/>
    <col min="19" max="19" width="2" customWidth="1"/>
    <col min="20" max="20" width="22" customWidth="1"/>
    <col min="21" max="24" width="2" customWidth="1"/>
  </cols>
  <sheetData>
    <row r="1" spans="1:24" ht="43.5" customHeight="1" x14ac:dyDescent="0.35">
      <c r="A1" s="9" t="s">
        <v>1112</v>
      </c>
      <c r="B1" s="9"/>
      <c r="C1" s="9"/>
      <c r="D1" s="9"/>
      <c r="E1" s="9"/>
      <c r="F1" s="9"/>
      <c r="G1" s="9"/>
      <c r="H1" s="9"/>
      <c r="I1" s="9"/>
      <c r="J1" s="9"/>
      <c r="K1" s="9"/>
      <c r="L1" s="9"/>
      <c r="M1" s="9"/>
      <c r="N1" s="9"/>
      <c r="O1" s="9"/>
      <c r="P1" s="9"/>
      <c r="Q1" s="9"/>
      <c r="R1" s="9"/>
      <c r="S1" s="9"/>
      <c r="T1" s="9"/>
      <c r="U1" s="9"/>
      <c r="V1" s="9"/>
      <c r="W1" s="9"/>
      <c r="X1" s="9"/>
    </row>
    <row r="2" spans="1:24" ht="18" customHeight="1" x14ac:dyDescent="0.35">
      <c r="A2" s="8" t="s">
        <v>1113</v>
      </c>
      <c r="B2" s="8"/>
      <c r="C2" s="8"/>
      <c r="D2" s="8"/>
      <c r="E2" s="8"/>
      <c r="F2" s="8"/>
      <c r="G2" s="8"/>
      <c r="H2" s="8"/>
      <c r="I2" s="8"/>
      <c r="J2" s="8"/>
      <c r="K2" s="8"/>
      <c r="L2" s="8"/>
      <c r="M2" s="8"/>
      <c r="N2" s="8"/>
      <c r="O2" s="8"/>
      <c r="P2" s="8"/>
      <c r="Q2" s="8"/>
      <c r="R2" s="8"/>
      <c r="S2" s="8"/>
      <c r="T2" s="8"/>
      <c r="U2" s="8"/>
      <c r="V2" s="8"/>
      <c r="W2" s="8"/>
      <c r="X2" s="8"/>
    </row>
    <row r="3" spans="1:24" ht="7.5" customHeight="1" x14ac:dyDescent="0.35">
      <c r="A3" s="19"/>
      <c r="B3" s="19"/>
      <c r="C3" s="19"/>
      <c r="D3" s="19"/>
      <c r="E3" s="19"/>
      <c r="F3" s="19"/>
      <c r="G3" s="19"/>
      <c r="H3" s="19"/>
      <c r="I3" s="19"/>
      <c r="J3" s="19"/>
      <c r="K3" s="19"/>
      <c r="L3" s="19"/>
      <c r="M3" s="19"/>
      <c r="N3" s="19"/>
      <c r="O3" s="19"/>
      <c r="P3" s="19"/>
      <c r="Q3" s="19"/>
      <c r="R3" s="19"/>
      <c r="S3" s="19"/>
      <c r="T3" s="19"/>
      <c r="U3" s="19"/>
      <c r="V3" s="19"/>
      <c r="W3" s="19"/>
      <c r="X3" s="19"/>
    </row>
    <row r="4" spans="1:24" ht="19.5" customHeight="1" x14ac:dyDescent="0.35">
      <c r="A4" s="7" t="s">
        <v>1114</v>
      </c>
      <c r="B4" s="7"/>
      <c r="C4" s="7"/>
      <c r="D4" s="7"/>
      <c r="E4" s="7"/>
      <c r="F4" s="7"/>
      <c r="H4" s="7" t="s">
        <v>1115</v>
      </c>
      <c r="I4" s="7"/>
      <c r="J4" s="7"/>
      <c r="K4" s="7"/>
      <c r="M4" s="330" t="s">
        <v>1116</v>
      </c>
      <c r="N4" s="330"/>
      <c r="O4" s="330"/>
      <c r="Q4" s="12" t="s">
        <v>1117</v>
      </c>
      <c r="R4" s="12"/>
      <c r="S4" s="12"/>
      <c r="T4" s="7" t="s">
        <v>1118</v>
      </c>
      <c r="U4" s="7"/>
      <c r="V4" s="7"/>
      <c r="W4" s="7"/>
      <c r="X4" s="7"/>
    </row>
    <row r="5" spans="1:24" ht="43.5" customHeight="1" x14ac:dyDescent="0.35">
      <c r="B5" s="15" t="s">
        <v>1119</v>
      </c>
      <c r="C5" s="15" t="s">
        <v>1120</v>
      </c>
      <c r="D5" s="20" t="s">
        <v>1121</v>
      </c>
      <c r="E5" s="15" t="s">
        <v>1122</v>
      </c>
      <c r="F5" s="20" t="s">
        <v>1123</v>
      </c>
      <c r="H5" s="15" t="s">
        <v>1124</v>
      </c>
      <c r="I5" s="20" t="s">
        <v>1125</v>
      </c>
      <c r="J5" s="20" t="s">
        <v>1126</v>
      </c>
      <c r="K5" s="20" t="s">
        <v>1127</v>
      </c>
      <c r="M5" s="21" t="s">
        <v>1128</v>
      </c>
      <c r="N5" s="21" t="s">
        <v>1129</v>
      </c>
      <c r="O5" s="21" t="s">
        <v>1130</v>
      </c>
      <c r="Q5" s="20" t="s">
        <v>1131</v>
      </c>
      <c r="R5" s="20" t="s">
        <v>1132</v>
      </c>
      <c r="S5" s="20" t="s">
        <v>1133</v>
      </c>
    </row>
    <row r="6" spans="1:24" ht="15" customHeight="1" x14ac:dyDescent="0.35">
      <c r="B6" s="23" t="s">
        <v>1134</v>
      </c>
      <c r="C6" s="71"/>
      <c r="D6" s="71"/>
      <c r="E6" s="71"/>
      <c r="F6" s="71"/>
      <c r="H6" s="23" t="s">
        <v>1135</v>
      </c>
      <c r="I6" s="177"/>
      <c r="J6" s="177"/>
      <c r="K6" s="178"/>
      <c r="M6" s="23" t="s">
        <v>1136</v>
      </c>
      <c r="N6" s="71"/>
      <c r="O6" s="71"/>
      <c r="Q6" s="23" t="s">
        <v>1137</v>
      </c>
      <c r="R6" s="179"/>
      <c r="S6" s="141"/>
      <c r="T6" s="327" t="s">
        <v>1138</v>
      </c>
      <c r="U6" s="327"/>
      <c r="V6" s="327"/>
      <c r="W6" s="327"/>
      <c r="X6" s="327"/>
    </row>
    <row r="7" spans="1:24" ht="15" customHeight="1" x14ac:dyDescent="0.35">
      <c r="B7" s="29" t="s">
        <v>1139</v>
      </c>
      <c r="C7" s="164" t="s">
        <v>1140</v>
      </c>
      <c r="D7" s="73" t="s">
        <v>1141</v>
      </c>
      <c r="E7" s="73" t="s">
        <v>1142</v>
      </c>
      <c r="F7" s="73" t="s">
        <v>1143</v>
      </c>
      <c r="H7" s="29" t="s">
        <v>1144</v>
      </c>
      <c r="I7" s="180" t="s">
        <v>1145</v>
      </c>
      <c r="J7" s="181"/>
      <c r="K7" s="148" t="s">
        <v>1146</v>
      </c>
      <c r="M7" s="29" t="s">
        <v>1147</v>
      </c>
      <c r="N7" s="72" t="s">
        <v>1148</v>
      </c>
      <c r="O7" s="73" t="s">
        <v>1149</v>
      </c>
      <c r="Q7" s="60" t="s">
        <v>1150</v>
      </c>
      <c r="R7" s="170" t="s">
        <v>1151</v>
      </c>
      <c r="S7" s="182" t="s">
        <v>1152</v>
      </c>
      <c r="T7" s="328" t="s">
        <v>1153</v>
      </c>
      <c r="U7" s="328"/>
      <c r="V7" s="328"/>
      <c r="W7" s="328"/>
      <c r="X7" s="328"/>
    </row>
    <row r="8" spans="1:24" ht="15" customHeight="1" x14ac:dyDescent="0.35">
      <c r="B8" s="29" t="s">
        <v>1154</v>
      </c>
      <c r="C8" s="164" t="s">
        <v>1155</v>
      </c>
      <c r="D8" s="73" t="s">
        <v>1156</v>
      </c>
      <c r="E8" s="73" t="s">
        <v>1157</v>
      </c>
      <c r="F8" s="73" t="s">
        <v>1158</v>
      </c>
      <c r="H8" s="29" t="s">
        <v>1159</v>
      </c>
      <c r="I8" s="180" t="s">
        <v>1160</v>
      </c>
      <c r="J8" s="181"/>
      <c r="K8" s="148" t="s">
        <v>1161</v>
      </c>
      <c r="M8" s="29" t="s">
        <v>1162</v>
      </c>
      <c r="N8" s="72" t="s">
        <v>1163</v>
      </c>
      <c r="O8" s="72" t="s">
        <v>1164</v>
      </c>
      <c r="Q8" s="60" t="s">
        <v>1165</v>
      </c>
      <c r="R8" s="170" t="s">
        <v>1166</v>
      </c>
      <c r="S8" s="182" t="s">
        <v>1167</v>
      </c>
      <c r="T8" s="328" t="s">
        <v>1168</v>
      </c>
      <c r="U8" s="328"/>
      <c r="V8" s="328"/>
      <c r="W8" s="328"/>
      <c r="X8" s="328"/>
    </row>
    <row r="9" spans="1:24" ht="15" customHeight="1" x14ac:dyDescent="0.35">
      <c r="B9" s="183" t="s">
        <v>1169</v>
      </c>
      <c r="C9" s="71" t="s">
        <v>1170</v>
      </c>
      <c r="D9" s="71" t="s">
        <v>1171</v>
      </c>
      <c r="E9" s="71" t="s">
        <v>1172</v>
      </c>
      <c r="F9" s="71" t="s">
        <v>1173</v>
      </c>
      <c r="H9" s="29" t="s">
        <v>1174</v>
      </c>
      <c r="I9" s="180" t="s">
        <v>1175</v>
      </c>
      <c r="J9" s="181"/>
      <c r="K9" s="148" t="s">
        <v>1176</v>
      </c>
      <c r="M9" s="60" t="s">
        <v>1162</v>
      </c>
      <c r="N9" s="73" t="s">
        <v>1177</v>
      </c>
      <c r="O9" s="170" t="s">
        <v>1178</v>
      </c>
      <c r="Q9" s="60" t="s">
        <v>1179</v>
      </c>
      <c r="R9" s="170" t="s">
        <v>1180</v>
      </c>
      <c r="S9" s="182" t="s">
        <v>1181</v>
      </c>
      <c r="T9" s="328" t="s">
        <v>1182</v>
      </c>
      <c r="U9" s="328"/>
      <c r="V9" s="328"/>
      <c r="W9" s="328"/>
      <c r="X9" s="328"/>
    </row>
    <row r="10" spans="1:24" ht="15" customHeight="1" x14ac:dyDescent="0.35">
      <c r="B10" s="23" t="s">
        <v>1183</v>
      </c>
      <c r="C10" s="71"/>
      <c r="D10" s="71"/>
      <c r="E10" s="71"/>
      <c r="F10" s="71"/>
      <c r="H10" s="29" t="s">
        <v>1184</v>
      </c>
      <c r="I10" s="180" t="s">
        <v>1185</v>
      </c>
      <c r="J10" s="181"/>
      <c r="K10" s="148" t="s">
        <v>1186</v>
      </c>
      <c r="M10" s="29" t="s">
        <v>1187</v>
      </c>
      <c r="N10" s="72" t="s">
        <v>1188</v>
      </c>
      <c r="O10" s="72" t="s">
        <v>1189</v>
      </c>
      <c r="Q10" s="60" t="s">
        <v>1190</v>
      </c>
      <c r="R10" s="170" t="s">
        <v>1191</v>
      </c>
      <c r="S10" s="182" t="s">
        <v>1192</v>
      </c>
      <c r="T10" s="328" t="s">
        <v>1193</v>
      </c>
      <c r="U10" s="328"/>
      <c r="V10" s="328"/>
      <c r="W10" s="328"/>
      <c r="X10" s="328"/>
    </row>
    <row r="11" spans="1:24" ht="15" customHeight="1" x14ac:dyDescent="0.35">
      <c r="B11" s="29" t="s">
        <v>1194</v>
      </c>
      <c r="C11" s="164" t="s">
        <v>1195</v>
      </c>
      <c r="D11" s="73" t="s">
        <v>1196</v>
      </c>
      <c r="E11" s="73" t="s">
        <v>1197</v>
      </c>
      <c r="F11" s="73" t="s">
        <v>1198</v>
      </c>
      <c r="H11" s="29" t="s">
        <v>1199</v>
      </c>
      <c r="I11" s="180" t="s">
        <v>1200</v>
      </c>
      <c r="J11" s="181"/>
      <c r="K11" s="148" t="s">
        <v>1201</v>
      </c>
      <c r="M11" s="60" t="s">
        <v>1187</v>
      </c>
      <c r="N11" s="73" t="s">
        <v>1202</v>
      </c>
      <c r="O11" s="170" t="s">
        <v>1203</v>
      </c>
      <c r="Q11" s="60" t="s">
        <v>1204</v>
      </c>
      <c r="R11" s="170" t="s">
        <v>1205</v>
      </c>
      <c r="S11" s="182" t="s">
        <v>1206</v>
      </c>
      <c r="T11" s="328" t="s">
        <v>1207</v>
      </c>
      <c r="U11" s="328"/>
      <c r="V11" s="328"/>
      <c r="W11" s="328"/>
      <c r="X11" s="328"/>
    </row>
    <row r="12" spans="1:24" ht="15" customHeight="1" x14ac:dyDescent="0.35">
      <c r="B12" s="29" t="s">
        <v>1208</v>
      </c>
      <c r="C12" s="164" t="s">
        <v>1209</v>
      </c>
      <c r="D12" s="73" t="s">
        <v>1210</v>
      </c>
      <c r="E12" s="73" t="s">
        <v>1211</v>
      </c>
      <c r="F12" s="73" t="s">
        <v>1212</v>
      </c>
      <c r="H12" s="29" t="s">
        <v>1213</v>
      </c>
      <c r="I12" s="180" t="s">
        <v>1214</v>
      </c>
      <c r="J12" s="181"/>
      <c r="K12" s="148" t="s">
        <v>1215</v>
      </c>
      <c r="M12" s="60" t="s">
        <v>1187</v>
      </c>
      <c r="N12" s="73" t="s">
        <v>1216</v>
      </c>
      <c r="O12" s="170" t="s">
        <v>1217</v>
      </c>
      <c r="Q12" s="60" t="s">
        <v>1218</v>
      </c>
      <c r="R12" s="170" t="s">
        <v>1219</v>
      </c>
      <c r="S12" s="182" t="s">
        <v>1220</v>
      </c>
      <c r="T12" s="328"/>
      <c r="U12" s="328"/>
      <c r="V12" s="328"/>
      <c r="W12" s="328"/>
      <c r="X12" s="328"/>
    </row>
    <row r="13" spans="1:24" ht="15" customHeight="1" x14ac:dyDescent="0.35">
      <c r="B13" s="29" t="s">
        <v>1221</v>
      </c>
      <c r="C13" s="164" t="s">
        <v>1222</v>
      </c>
      <c r="D13" s="73" t="s">
        <v>1223</v>
      </c>
      <c r="E13" s="73" t="s">
        <v>1224</v>
      </c>
      <c r="F13" s="73" t="s">
        <v>1225</v>
      </c>
      <c r="H13" s="183" t="s">
        <v>1226</v>
      </c>
      <c r="I13" s="180" t="s">
        <v>1227</v>
      </c>
      <c r="J13" s="181"/>
      <c r="K13" s="141" t="s">
        <v>1228</v>
      </c>
      <c r="M13" s="23" t="s">
        <v>1229</v>
      </c>
      <c r="N13" s="71"/>
      <c r="O13" s="71"/>
      <c r="Q13" s="23" t="s">
        <v>1230</v>
      </c>
      <c r="R13" s="179"/>
      <c r="S13" s="141"/>
      <c r="T13" s="327" t="s">
        <v>1231</v>
      </c>
      <c r="U13" s="327"/>
      <c r="V13" s="327"/>
      <c r="W13" s="327"/>
      <c r="X13" s="327"/>
    </row>
    <row r="14" spans="1:24" ht="15" customHeight="1" x14ac:dyDescent="0.35">
      <c r="B14" s="29" t="s">
        <v>1232</v>
      </c>
      <c r="C14" s="164" t="s">
        <v>1233</v>
      </c>
      <c r="D14" s="73" t="s">
        <v>1234</v>
      </c>
      <c r="E14" s="73" t="s">
        <v>1235</v>
      </c>
      <c r="F14" s="73" t="s">
        <v>1236</v>
      </c>
      <c r="H14" s="23" t="s">
        <v>1237</v>
      </c>
      <c r="I14" s="177"/>
      <c r="J14" s="177"/>
      <c r="K14" s="178"/>
      <c r="M14" s="29" t="s">
        <v>1238</v>
      </c>
      <c r="N14" s="72" t="s">
        <v>1239</v>
      </c>
      <c r="O14" s="72" t="s">
        <v>1240</v>
      </c>
      <c r="Q14" s="29" t="s">
        <v>1241</v>
      </c>
      <c r="R14" s="184" t="s">
        <v>1242</v>
      </c>
      <c r="S14" s="148" t="s">
        <v>1243</v>
      </c>
      <c r="T14" s="328" t="s">
        <v>1244</v>
      </c>
      <c r="U14" s="328"/>
      <c r="V14" s="328"/>
      <c r="W14" s="328"/>
      <c r="X14" s="328"/>
    </row>
    <row r="15" spans="1:24" ht="15" customHeight="1" x14ac:dyDescent="0.35">
      <c r="B15" s="23" t="s">
        <v>1245</v>
      </c>
      <c r="C15" s="71"/>
      <c r="D15" s="71"/>
      <c r="E15" s="71"/>
      <c r="F15" s="71"/>
      <c r="H15" s="29" t="s">
        <v>1246</v>
      </c>
      <c r="I15" s="180"/>
      <c r="J15" s="181" t="s">
        <v>1247</v>
      </c>
      <c r="K15" s="148" t="s">
        <v>1248</v>
      </c>
      <c r="M15" s="29" t="s">
        <v>1249</v>
      </c>
      <c r="N15" s="72" t="s">
        <v>1250</v>
      </c>
      <c r="O15" s="72" t="s">
        <v>1251</v>
      </c>
      <c r="Q15" s="60" t="s">
        <v>1252</v>
      </c>
      <c r="R15" s="170" t="s">
        <v>1253</v>
      </c>
      <c r="S15" s="182" t="s">
        <v>1254</v>
      </c>
      <c r="T15" s="328" t="s">
        <v>1255</v>
      </c>
      <c r="U15" s="328"/>
      <c r="V15" s="328"/>
      <c r="W15" s="328"/>
      <c r="X15" s="328"/>
    </row>
    <row r="16" spans="1:24" ht="15" customHeight="1" x14ac:dyDescent="0.35">
      <c r="B16" s="60" t="s">
        <v>1256</v>
      </c>
      <c r="C16" s="73" t="s">
        <v>1257</v>
      </c>
      <c r="D16" s="73" t="s">
        <v>1258</v>
      </c>
      <c r="E16" s="73" t="s">
        <v>1259</v>
      </c>
      <c r="F16" s="73" t="s">
        <v>1260</v>
      </c>
      <c r="H16" s="29" t="s">
        <v>1261</v>
      </c>
      <c r="I16" s="180"/>
      <c r="J16" s="181" t="s">
        <v>1262</v>
      </c>
      <c r="K16" s="148" t="s">
        <v>1263</v>
      </c>
      <c r="M16" s="60" t="s">
        <v>1264</v>
      </c>
      <c r="N16" s="73" t="s">
        <v>1265</v>
      </c>
      <c r="O16" s="170" t="s">
        <v>1266</v>
      </c>
      <c r="Q16" s="60" t="s">
        <v>1267</v>
      </c>
      <c r="R16" s="170" t="s">
        <v>1268</v>
      </c>
      <c r="S16" s="182" t="s">
        <v>1269</v>
      </c>
      <c r="T16" s="328" t="s">
        <v>1270</v>
      </c>
      <c r="U16" s="328"/>
      <c r="V16" s="328"/>
      <c r="W16" s="328"/>
      <c r="X16" s="328"/>
    </row>
    <row r="17" spans="1:24" ht="15" customHeight="1" x14ac:dyDescent="0.35">
      <c r="B17" s="60" t="s">
        <v>1271</v>
      </c>
      <c r="C17" s="73" t="s">
        <v>1272</v>
      </c>
      <c r="D17" s="73" t="s">
        <v>1273</v>
      </c>
      <c r="E17" s="73" t="s">
        <v>1274</v>
      </c>
      <c r="F17" s="73" t="s">
        <v>1275</v>
      </c>
      <c r="H17" s="29" t="s">
        <v>1276</v>
      </c>
      <c r="I17" s="180"/>
      <c r="J17" s="181" t="s">
        <v>1277</v>
      </c>
      <c r="K17" s="148" t="s">
        <v>1278</v>
      </c>
      <c r="M17" s="29" t="s">
        <v>1279</v>
      </c>
      <c r="N17" s="72" t="s">
        <v>1280</v>
      </c>
      <c r="O17" s="72" t="s">
        <v>1281</v>
      </c>
      <c r="Q17" s="29" t="s">
        <v>1282</v>
      </c>
      <c r="R17" s="184" t="s">
        <v>1283</v>
      </c>
      <c r="S17" s="148" t="s">
        <v>1284</v>
      </c>
      <c r="T17" s="328" t="s">
        <v>1285</v>
      </c>
      <c r="U17" s="328"/>
      <c r="V17" s="328"/>
      <c r="W17" s="328"/>
      <c r="X17" s="328"/>
    </row>
    <row r="18" spans="1:24" ht="15" customHeight="1" x14ac:dyDescent="0.35">
      <c r="B18" s="60" t="s">
        <v>509</v>
      </c>
      <c r="C18" s="73" t="s">
        <v>1286</v>
      </c>
      <c r="D18" s="73" t="s">
        <v>1287</v>
      </c>
      <c r="E18" s="73" t="s">
        <v>1288</v>
      </c>
      <c r="F18" s="73" t="s">
        <v>1289</v>
      </c>
      <c r="H18" s="29" t="s">
        <v>1290</v>
      </c>
      <c r="I18" s="180"/>
      <c r="J18" s="181" t="s">
        <v>1291</v>
      </c>
      <c r="K18" s="148" t="s">
        <v>1292</v>
      </c>
      <c r="M18" s="29" t="s">
        <v>1293</v>
      </c>
      <c r="N18" s="72" t="s">
        <v>1294</v>
      </c>
      <c r="O18" s="72" t="s">
        <v>1295</v>
      </c>
      <c r="Q18" s="23" t="s">
        <v>1296</v>
      </c>
      <c r="R18" s="179"/>
      <c r="S18" s="141"/>
      <c r="T18" s="328" t="s">
        <v>1297</v>
      </c>
      <c r="U18" s="328"/>
      <c r="V18" s="328"/>
      <c r="W18" s="328"/>
      <c r="X18" s="328"/>
    </row>
    <row r="19" spans="1:24" ht="15" customHeight="1" x14ac:dyDescent="0.35">
      <c r="B19" s="23" t="s">
        <v>1298</v>
      </c>
      <c r="C19" s="71"/>
      <c r="D19" s="71"/>
      <c r="E19" s="71"/>
      <c r="F19" s="71"/>
      <c r="H19" s="29" t="s">
        <v>1299</v>
      </c>
      <c r="I19" s="180"/>
      <c r="J19" s="181" t="s">
        <v>1175</v>
      </c>
      <c r="K19" s="148" t="s">
        <v>1300</v>
      </c>
      <c r="M19" s="23" t="s">
        <v>1301</v>
      </c>
      <c r="N19" s="71"/>
      <c r="O19" s="71"/>
      <c r="Q19" s="60" t="s">
        <v>1302</v>
      </c>
      <c r="R19" s="170" t="s">
        <v>1303</v>
      </c>
      <c r="S19" s="182" t="s">
        <v>1304</v>
      </c>
      <c r="T19" s="328" t="s">
        <v>1305</v>
      </c>
      <c r="U19" s="328"/>
      <c r="V19" s="328"/>
      <c r="W19" s="328"/>
      <c r="X19" s="328"/>
    </row>
    <row r="20" spans="1:24" ht="15" customHeight="1" x14ac:dyDescent="0.35">
      <c r="B20" s="29" t="s">
        <v>1306</v>
      </c>
      <c r="C20" s="164" t="s">
        <v>1307</v>
      </c>
      <c r="D20" s="73" t="s">
        <v>1308</v>
      </c>
      <c r="E20" s="73" t="s">
        <v>1309</v>
      </c>
      <c r="F20" s="73" t="s">
        <v>1310</v>
      </c>
      <c r="H20" s="29" t="s">
        <v>1311</v>
      </c>
      <c r="I20" s="180"/>
      <c r="J20" s="181" t="s">
        <v>1200</v>
      </c>
      <c r="K20" s="148" t="s">
        <v>1312</v>
      </c>
      <c r="M20" s="29" t="s">
        <v>1313</v>
      </c>
      <c r="N20" s="72" t="s">
        <v>1314</v>
      </c>
      <c r="O20" s="73" t="s">
        <v>1315</v>
      </c>
      <c r="Q20" s="60" t="s">
        <v>1316</v>
      </c>
      <c r="R20" s="170" t="s">
        <v>1317</v>
      </c>
      <c r="S20" s="182" t="s">
        <v>1318</v>
      </c>
      <c r="T20" s="328" t="s">
        <v>1319</v>
      </c>
      <c r="U20" s="328"/>
      <c r="V20" s="328"/>
      <c r="W20" s="328"/>
      <c r="X20" s="328"/>
    </row>
    <row r="21" spans="1:24" ht="15" customHeight="1" x14ac:dyDescent="0.35">
      <c r="B21" s="29" t="s">
        <v>1320</v>
      </c>
      <c r="C21" s="164" t="s">
        <v>1321</v>
      </c>
      <c r="D21" s="73" t="s">
        <v>1322</v>
      </c>
      <c r="E21" s="73" t="s">
        <v>1323</v>
      </c>
      <c r="F21" s="73" t="s">
        <v>1324</v>
      </c>
      <c r="H21" s="29" t="s">
        <v>1325</v>
      </c>
      <c r="I21" s="180"/>
      <c r="J21" s="181" t="s">
        <v>1214</v>
      </c>
      <c r="K21" s="148" t="s">
        <v>1326</v>
      </c>
      <c r="M21" s="29" t="s">
        <v>1327</v>
      </c>
      <c r="N21" s="72" t="s">
        <v>1328</v>
      </c>
      <c r="O21" s="73" t="s">
        <v>1329</v>
      </c>
      <c r="Q21" s="23" t="s">
        <v>1330</v>
      </c>
      <c r="R21" s="179"/>
      <c r="S21" s="141"/>
      <c r="T21" s="328" t="s">
        <v>1331</v>
      </c>
      <c r="U21" s="328"/>
      <c r="V21" s="328"/>
      <c r="W21" s="328"/>
      <c r="X21" s="328"/>
    </row>
    <row r="22" spans="1:24" ht="15" customHeight="1" x14ac:dyDescent="0.35">
      <c r="B22" s="183" t="s">
        <v>1332</v>
      </c>
      <c r="C22" s="71" t="s">
        <v>257</v>
      </c>
      <c r="D22" s="71" t="s">
        <v>1333</v>
      </c>
      <c r="E22" s="71" t="s">
        <v>1334</v>
      </c>
      <c r="F22" s="71" t="s">
        <v>1335</v>
      </c>
      <c r="H22" s="29" t="s">
        <v>1336</v>
      </c>
      <c r="I22" s="180"/>
      <c r="J22" s="181" t="s">
        <v>1337</v>
      </c>
      <c r="K22" s="148" t="s">
        <v>1338</v>
      </c>
      <c r="M22" s="29" t="s">
        <v>1339</v>
      </c>
      <c r="N22" s="72" t="s">
        <v>1340</v>
      </c>
      <c r="O22" s="72" t="s">
        <v>1341</v>
      </c>
      <c r="Q22" s="29" t="s">
        <v>1342</v>
      </c>
      <c r="R22" s="184" t="s">
        <v>1343</v>
      </c>
      <c r="S22" s="148" t="s">
        <v>1344</v>
      </c>
      <c r="T22" s="328"/>
      <c r="U22" s="328"/>
      <c r="V22" s="328"/>
      <c r="W22" s="328"/>
      <c r="X22" s="328"/>
    </row>
    <row r="23" spans="1:24" ht="15" customHeight="1" x14ac:dyDescent="0.35">
      <c r="B23" s="23" t="s">
        <v>1345</v>
      </c>
      <c r="C23" s="71"/>
      <c r="D23" s="71"/>
      <c r="E23" s="71"/>
      <c r="F23" s="71"/>
      <c r="H23" s="183" t="s">
        <v>1346</v>
      </c>
      <c r="I23" s="180"/>
      <c r="J23" s="181" t="s">
        <v>1347</v>
      </c>
      <c r="K23" s="141" t="s">
        <v>1348</v>
      </c>
      <c r="M23" s="29" t="s">
        <v>1339</v>
      </c>
      <c r="N23" s="72" t="s">
        <v>1349</v>
      </c>
      <c r="O23" s="72" t="s">
        <v>1350</v>
      </c>
      <c r="Q23" s="29" t="s">
        <v>1351</v>
      </c>
      <c r="R23" s="184" t="s">
        <v>1352</v>
      </c>
      <c r="S23" s="148" t="s">
        <v>1353</v>
      </c>
      <c r="T23" s="327" t="s">
        <v>1354</v>
      </c>
      <c r="U23" s="327"/>
      <c r="V23" s="327"/>
      <c r="W23" s="327"/>
      <c r="X23" s="327"/>
    </row>
    <row r="24" spans="1:24" ht="15" customHeight="1" x14ac:dyDescent="0.35">
      <c r="B24" s="29" t="s">
        <v>1355</v>
      </c>
      <c r="C24" s="164" t="s">
        <v>1356</v>
      </c>
      <c r="D24" s="73" t="s">
        <v>1357</v>
      </c>
      <c r="E24" s="73" t="s">
        <v>1358</v>
      </c>
      <c r="F24" s="73" t="s">
        <v>1359</v>
      </c>
      <c r="H24" s="183" t="s">
        <v>1360</v>
      </c>
      <c r="I24" s="180"/>
      <c r="J24" s="181" t="s">
        <v>1361</v>
      </c>
      <c r="K24" s="141" t="s">
        <v>1362</v>
      </c>
      <c r="M24" s="23" t="s">
        <v>1363</v>
      </c>
      <c r="N24" s="71"/>
      <c r="O24" s="71"/>
      <c r="T24" s="328" t="s">
        <v>1364</v>
      </c>
      <c r="U24" s="328"/>
      <c r="V24" s="328"/>
      <c r="W24" s="328"/>
      <c r="X24" s="328"/>
    </row>
    <row r="25" spans="1:24" ht="15" customHeight="1" x14ac:dyDescent="0.35">
      <c r="B25" s="29" t="s">
        <v>1365</v>
      </c>
      <c r="C25" s="164" t="s">
        <v>1366</v>
      </c>
      <c r="D25" s="73" t="s">
        <v>1367</v>
      </c>
      <c r="E25" s="73" t="s">
        <v>1368</v>
      </c>
      <c r="F25" s="73" t="s">
        <v>1369</v>
      </c>
      <c r="H25" s="23" t="s">
        <v>1370</v>
      </c>
      <c r="I25" s="177"/>
      <c r="J25" s="177"/>
      <c r="K25" s="178"/>
      <c r="M25" s="60" t="s">
        <v>1371</v>
      </c>
      <c r="N25" s="73" t="s">
        <v>1372</v>
      </c>
      <c r="O25" s="170" t="s">
        <v>1373</v>
      </c>
      <c r="T25" s="328" t="s">
        <v>1374</v>
      </c>
      <c r="U25" s="328"/>
      <c r="V25" s="328"/>
      <c r="W25" s="328"/>
      <c r="X25" s="328"/>
    </row>
    <row r="26" spans="1:24" ht="15" customHeight="1" x14ac:dyDescent="0.35">
      <c r="H26" s="60" t="s">
        <v>1375</v>
      </c>
      <c r="I26" s="180"/>
      <c r="J26" s="181" t="s">
        <v>1376</v>
      </c>
      <c r="K26" s="74" t="s">
        <v>1377</v>
      </c>
      <c r="M26" s="29" t="s">
        <v>1378</v>
      </c>
      <c r="N26" s="72" t="s">
        <v>1379</v>
      </c>
      <c r="O26" s="72" t="s">
        <v>1380</v>
      </c>
      <c r="T26" s="328" t="s">
        <v>1381</v>
      </c>
      <c r="U26" s="328"/>
      <c r="V26" s="328"/>
      <c r="W26" s="328"/>
      <c r="X26" s="328"/>
    </row>
    <row r="27" spans="1:24" ht="15" customHeight="1" x14ac:dyDescent="0.35">
      <c r="A27" s="19"/>
      <c r="B27" s="19"/>
      <c r="C27" s="19"/>
      <c r="D27" s="19"/>
      <c r="E27" s="19"/>
      <c r="F27" s="19"/>
      <c r="G27" s="19"/>
      <c r="H27" s="173" t="s">
        <v>1382</v>
      </c>
      <c r="I27" s="185"/>
      <c r="J27" s="185" t="s">
        <v>1383</v>
      </c>
      <c r="K27" s="143" t="s">
        <v>1384</v>
      </c>
      <c r="L27" s="19"/>
      <c r="M27" s="60" t="s">
        <v>1385</v>
      </c>
      <c r="N27" s="73" t="s">
        <v>1386</v>
      </c>
      <c r="O27" s="170" t="s">
        <v>1387</v>
      </c>
      <c r="P27" s="19"/>
      <c r="Q27" s="19"/>
      <c r="R27" s="19"/>
      <c r="S27" s="19"/>
      <c r="T27" s="328" t="s">
        <v>1388</v>
      </c>
      <c r="U27" s="328"/>
      <c r="V27" s="328"/>
      <c r="W27" s="328"/>
      <c r="X27" s="328"/>
    </row>
    <row r="28" spans="1:24" ht="15" customHeight="1" x14ac:dyDescent="0.35">
      <c r="A28" s="7" t="s">
        <v>1389</v>
      </c>
      <c r="B28" s="7"/>
      <c r="C28" s="7"/>
      <c r="D28" s="7"/>
      <c r="E28" s="7"/>
      <c r="F28" s="7"/>
      <c r="H28" s="29" t="s">
        <v>1390</v>
      </c>
      <c r="I28" s="180"/>
      <c r="J28" s="181" t="s">
        <v>1391</v>
      </c>
      <c r="K28" s="148" t="s">
        <v>1392</v>
      </c>
      <c r="M28" s="60" t="s">
        <v>1393</v>
      </c>
      <c r="N28" s="73" t="s">
        <v>1394</v>
      </c>
      <c r="O28" s="170" t="s">
        <v>1395</v>
      </c>
      <c r="T28" s="328" t="s">
        <v>1396</v>
      </c>
      <c r="U28" s="328"/>
      <c r="V28" s="328"/>
      <c r="W28" s="328"/>
      <c r="X28" s="328"/>
    </row>
    <row r="29" spans="1:24" ht="15" customHeight="1" x14ac:dyDescent="0.35">
      <c r="B29" s="15" t="s">
        <v>1397</v>
      </c>
      <c r="C29" s="20" t="s">
        <v>1398</v>
      </c>
      <c r="D29" s="15" t="s">
        <v>1399</v>
      </c>
      <c r="E29" s="15" t="s">
        <v>1400</v>
      </c>
      <c r="F29" s="21" t="s">
        <v>1401</v>
      </c>
      <c r="H29" s="29" t="s">
        <v>1402</v>
      </c>
      <c r="I29" s="180"/>
      <c r="J29" s="181" t="s">
        <v>1403</v>
      </c>
      <c r="K29" s="148" t="s">
        <v>1404</v>
      </c>
      <c r="T29" s="328"/>
      <c r="U29" s="328"/>
      <c r="V29" s="328"/>
      <c r="W29" s="328"/>
      <c r="X29" s="328"/>
    </row>
    <row r="30" spans="1:24" ht="15" customHeight="1" x14ac:dyDescent="0.35">
      <c r="B30" s="25" t="s">
        <v>1405</v>
      </c>
      <c r="C30" s="26">
        <v>450000</v>
      </c>
      <c r="D30" s="28"/>
      <c r="E30" s="28"/>
      <c r="F30" s="28"/>
      <c r="H30" s="29" t="s">
        <v>1406</v>
      </c>
      <c r="I30" s="180"/>
      <c r="J30" s="181" t="s">
        <v>1407</v>
      </c>
      <c r="K30" s="148" t="s">
        <v>1408</v>
      </c>
      <c r="T30" s="327" t="s">
        <v>1409</v>
      </c>
      <c r="U30" s="327"/>
      <c r="V30" s="327"/>
      <c r="W30" s="327"/>
      <c r="X30" s="327"/>
    </row>
    <row r="31" spans="1:24" ht="15" customHeight="1" x14ac:dyDescent="0.35">
      <c r="B31" s="25" t="s">
        <v>1410</v>
      </c>
      <c r="C31" s="26">
        <v>4500</v>
      </c>
      <c r="D31" s="28"/>
      <c r="E31" s="28"/>
      <c r="F31" s="28"/>
      <c r="H31" s="29" t="s">
        <v>1411</v>
      </c>
      <c r="I31" s="180"/>
      <c r="J31" s="181" t="s">
        <v>1412</v>
      </c>
      <c r="K31" s="148" t="s">
        <v>1413</v>
      </c>
      <c r="T31" s="328" t="s">
        <v>1414</v>
      </c>
      <c r="U31" s="328"/>
      <c r="V31" s="328"/>
      <c r="W31" s="328"/>
      <c r="X31" s="328"/>
    </row>
    <row r="32" spans="1:24" ht="15" customHeight="1" x14ac:dyDescent="0.35">
      <c r="B32" s="25" t="s">
        <v>1415</v>
      </c>
      <c r="C32" s="35">
        <v>3.0000000000000001E-3</v>
      </c>
      <c r="D32" s="28"/>
      <c r="E32" s="28"/>
      <c r="F32" s="28"/>
      <c r="T32" s="328" t="s">
        <v>1416</v>
      </c>
      <c r="U32" s="328"/>
      <c r="V32" s="328"/>
      <c r="W32" s="328"/>
      <c r="X32" s="328"/>
    </row>
    <row r="33" spans="1:24" ht="15" customHeight="1" x14ac:dyDescent="0.35">
      <c r="A33" s="19"/>
      <c r="B33" s="40" t="s">
        <v>1417</v>
      </c>
      <c r="C33" s="43">
        <v>6.0000000000000001E-3</v>
      </c>
      <c r="D33" s="44"/>
      <c r="E33" s="44"/>
      <c r="F33" s="44"/>
      <c r="G33" s="19"/>
      <c r="H33" s="19"/>
      <c r="I33" s="19"/>
      <c r="J33" s="19"/>
      <c r="K33" s="19"/>
      <c r="L33" s="19"/>
      <c r="M33" s="19"/>
      <c r="N33" s="19"/>
      <c r="O33" s="19"/>
      <c r="P33" s="19"/>
      <c r="Q33" s="19"/>
      <c r="R33" s="19"/>
      <c r="S33" s="19"/>
      <c r="T33" s="328" t="s">
        <v>1418</v>
      </c>
      <c r="U33" s="328"/>
      <c r="V33" s="328"/>
      <c r="W33" s="328"/>
      <c r="X33" s="328"/>
    </row>
    <row r="34" spans="1:24" ht="19.5" customHeight="1" x14ac:dyDescent="0.35">
      <c r="B34" s="25" t="s">
        <v>1419</v>
      </c>
      <c r="C34" s="26">
        <v>120</v>
      </c>
      <c r="D34" s="28"/>
      <c r="E34" s="28"/>
      <c r="F34" s="28"/>
      <c r="H34" s="7" t="s">
        <v>1420</v>
      </c>
      <c r="I34" s="7"/>
      <c r="J34" s="7"/>
      <c r="K34" s="7"/>
    </row>
    <row r="35" spans="1:24" ht="36" customHeight="1" x14ac:dyDescent="0.35">
      <c r="B35" s="25" t="s">
        <v>1421</v>
      </c>
      <c r="C35" s="35">
        <v>7.0000000000000007E-2</v>
      </c>
      <c r="D35" s="28"/>
      <c r="E35" s="28"/>
      <c r="F35" s="28"/>
      <c r="H35" s="15" t="s">
        <v>1422</v>
      </c>
      <c r="I35" s="15" t="s">
        <v>1423</v>
      </c>
      <c r="J35" s="15" t="s">
        <v>1424</v>
      </c>
      <c r="K35" s="15" t="s">
        <v>1425</v>
      </c>
    </row>
    <row r="36" spans="1:24" ht="19.5" customHeight="1" x14ac:dyDescent="0.35">
      <c r="A36" s="19"/>
      <c r="B36" s="19"/>
      <c r="C36" s="19"/>
      <c r="D36" s="19"/>
      <c r="E36" s="19"/>
      <c r="F36" s="19"/>
      <c r="G36" s="19"/>
      <c r="H36" s="23" t="s">
        <v>1426</v>
      </c>
      <c r="I36" s="140"/>
      <c r="J36" s="140"/>
      <c r="K36" s="141"/>
      <c r="L36" s="19"/>
      <c r="M36" s="19"/>
      <c r="N36" s="19"/>
      <c r="O36" s="19"/>
      <c r="P36" s="19"/>
      <c r="Q36" s="19"/>
      <c r="R36" s="19"/>
      <c r="S36" s="19"/>
      <c r="T36" s="19"/>
      <c r="U36" s="19"/>
      <c r="V36" s="19"/>
      <c r="W36" s="19"/>
      <c r="X36" s="19"/>
    </row>
    <row r="37" spans="1:24" ht="19.5" customHeight="1" x14ac:dyDescent="0.35">
      <c r="B37" s="5" t="s">
        <v>1427</v>
      </c>
      <c r="C37" s="5"/>
      <c r="D37" s="5"/>
      <c r="E37" s="5"/>
      <c r="F37" s="5"/>
      <c r="H37" s="29" t="s">
        <v>1428</v>
      </c>
      <c r="I37" s="26">
        <v>750000</v>
      </c>
      <c r="J37" s="151"/>
      <c r="K37" s="148" t="s">
        <v>1429</v>
      </c>
    </row>
    <row r="38" spans="1:24" ht="19.5" customHeight="1" x14ac:dyDescent="0.35">
      <c r="B38" s="29" t="s">
        <v>1430</v>
      </c>
      <c r="C38" s="175">
        <f>$C$31+$C$30*$C$32</f>
        <v>5850</v>
      </c>
      <c r="D38" s="28"/>
      <c r="E38" s="28"/>
      <c r="F38" s="28"/>
      <c r="H38" s="29" t="s">
        <v>1431</v>
      </c>
      <c r="I38" s="35">
        <v>0.3</v>
      </c>
      <c r="J38" s="151"/>
      <c r="K38" s="148" t="s">
        <v>1432</v>
      </c>
    </row>
    <row r="39" spans="1:24" ht="19.5" customHeight="1" x14ac:dyDescent="0.35">
      <c r="B39" s="29" t="s">
        <v>1433</v>
      </c>
      <c r="C39" s="28"/>
      <c r="D39" s="175">
        <f>$C$30*$C$33+$C$34</f>
        <v>2820</v>
      </c>
      <c r="E39" s="28"/>
      <c r="F39" s="28"/>
      <c r="H39" s="29" t="s">
        <v>1434</v>
      </c>
      <c r="I39" s="28"/>
      <c r="J39" s="186">
        <f>$I$37*(1-$I$38)</f>
        <v>525000</v>
      </c>
      <c r="K39" s="148" t="s">
        <v>1435</v>
      </c>
    </row>
    <row r="40" spans="1:24" ht="19.5" customHeight="1" x14ac:dyDescent="0.35">
      <c r="B40" s="187" t="s">
        <v>1436</v>
      </c>
      <c r="C40" s="151"/>
      <c r="D40" s="151"/>
      <c r="E40" s="186">
        <f>D39-C38</f>
        <v>-3030</v>
      </c>
      <c r="F40" s="151"/>
      <c r="H40" s="29" t="s">
        <v>1437</v>
      </c>
      <c r="I40" s="35">
        <v>6.8000000000000005E-2</v>
      </c>
      <c r="J40" s="151"/>
      <c r="K40" s="148" t="s">
        <v>1438</v>
      </c>
    </row>
    <row r="41" spans="1:24" ht="19.5" customHeight="1" x14ac:dyDescent="0.35">
      <c r="B41" s="29" t="s">
        <v>1439</v>
      </c>
      <c r="C41" s="49">
        <f>C38/$C$30</f>
        <v>1.2999999999999999E-2</v>
      </c>
      <c r="D41" s="28"/>
      <c r="E41" s="28"/>
      <c r="F41" s="28"/>
      <c r="H41" s="29" t="s">
        <v>1440</v>
      </c>
      <c r="I41" s="102">
        <v>25</v>
      </c>
      <c r="J41" s="151"/>
      <c r="K41" s="148" t="s">
        <v>1441</v>
      </c>
    </row>
    <row r="42" spans="1:24" ht="19.5" customHeight="1" x14ac:dyDescent="0.35">
      <c r="B42" s="29" t="s">
        <v>1442</v>
      </c>
      <c r="C42" s="28"/>
      <c r="D42" s="49">
        <f>D39/$C$30</f>
        <v>6.2666666666666669E-3</v>
      </c>
      <c r="E42" s="28"/>
      <c r="F42" s="28"/>
      <c r="H42" s="29" t="s">
        <v>1443</v>
      </c>
      <c r="I42" s="35">
        <v>0.04</v>
      </c>
      <c r="J42" s="151"/>
      <c r="K42" s="148" t="s">
        <v>1444</v>
      </c>
    </row>
    <row r="43" spans="1:24" ht="19.5" customHeight="1" x14ac:dyDescent="0.35">
      <c r="B43" s="23" t="s">
        <v>1445</v>
      </c>
      <c r="C43" s="140"/>
      <c r="D43" s="140"/>
      <c r="E43" s="140"/>
      <c r="F43" s="188">
        <f>IF($C$33-$C$32&gt;0,($C$31-$C$34)/($C$33-$C$32),"No break-even")</f>
        <v>1460000</v>
      </c>
      <c r="H43" s="29" t="s">
        <v>1446</v>
      </c>
      <c r="I43" s="35">
        <v>3.5000000000000003E-2</v>
      </c>
      <c r="J43" s="151"/>
      <c r="K43" s="148" t="s">
        <v>1447</v>
      </c>
    </row>
    <row r="44" spans="1:24" ht="19.5" customHeight="1" x14ac:dyDescent="0.35">
      <c r="B44" s="23" t="s">
        <v>1448</v>
      </c>
      <c r="C44" s="140"/>
      <c r="D44" s="140"/>
      <c r="E44" s="140"/>
      <c r="F44" s="189" t="str">
        <f>IF($C$30&gt;E43,"✅ SMSF may be cost-effective at this balance","⚠ SMSF may NOT be cost-effective — balance below break-even")</f>
        <v>✅ SMSF may be cost-effective at this balance</v>
      </c>
      <c r="H44" s="29" t="s">
        <v>1449</v>
      </c>
      <c r="I44" s="26">
        <v>8000</v>
      </c>
      <c r="J44" s="151"/>
      <c r="K44" s="148" t="s">
        <v>1450</v>
      </c>
    </row>
    <row r="45" spans="1:24" ht="19.5" customHeight="1" x14ac:dyDescent="0.35">
      <c r="B45" s="187" t="s">
        <v>1451</v>
      </c>
      <c r="C45" s="151"/>
      <c r="D45" s="151"/>
      <c r="E45" s="186">
        <f>(D39-C38)*((1+$C$35)^30-1)/$C$35</f>
        <v>-286216.18256094219</v>
      </c>
      <c r="F45" s="151"/>
      <c r="H45" s="29" t="s">
        <v>1452</v>
      </c>
      <c r="I45" s="26">
        <v>30000</v>
      </c>
      <c r="J45" s="151"/>
      <c r="K45" s="148" t="s">
        <v>1453</v>
      </c>
    </row>
    <row r="46" spans="1:24" ht="6" customHeight="1" x14ac:dyDescent="0.35">
      <c r="A46" s="19"/>
      <c r="B46" s="19"/>
      <c r="C46" s="19"/>
      <c r="D46" s="19"/>
      <c r="E46" s="19"/>
      <c r="F46" s="19"/>
      <c r="G46" s="19"/>
      <c r="H46" s="38" t="s">
        <v>1454</v>
      </c>
      <c r="I46" s="44"/>
      <c r="J46" s="44"/>
      <c r="K46" s="143"/>
      <c r="L46" s="19"/>
      <c r="M46" s="19"/>
      <c r="N46" s="19"/>
      <c r="O46" s="19"/>
      <c r="P46" s="19"/>
      <c r="Q46" s="19"/>
      <c r="R46" s="19"/>
      <c r="S46" s="19"/>
      <c r="T46" s="19"/>
      <c r="U46" s="19"/>
      <c r="V46" s="19"/>
      <c r="W46" s="19"/>
      <c r="X46" s="19"/>
    </row>
    <row r="47" spans="1:24" ht="19.5" customHeight="1" x14ac:dyDescent="0.35">
      <c r="A47" s="7" t="s">
        <v>1455</v>
      </c>
      <c r="B47" s="7"/>
      <c r="C47" s="7"/>
      <c r="D47" s="7"/>
      <c r="E47" s="7"/>
      <c r="F47" s="7"/>
      <c r="H47" s="69" t="s">
        <v>1456</v>
      </c>
      <c r="I47" s="151"/>
      <c r="J47" s="53">
        <f>$I$37*$I$38</f>
        <v>225000</v>
      </c>
      <c r="K47" s="74" t="s">
        <v>1457</v>
      </c>
    </row>
    <row r="48" spans="1:24" ht="21.75" customHeight="1" x14ac:dyDescent="0.35">
      <c r="H48" s="69" t="s">
        <v>1458</v>
      </c>
      <c r="I48" s="190"/>
      <c r="J48" s="53">
        <f>J39*$I$40</f>
        <v>35700</v>
      </c>
      <c r="K48" s="74" t="s">
        <v>1459</v>
      </c>
    </row>
    <row r="49" spans="2:11" ht="15" customHeight="1" x14ac:dyDescent="0.35">
      <c r="B49" t="s">
        <v>1460</v>
      </c>
      <c r="C49" t="s">
        <v>1461</v>
      </c>
      <c r="D49" t="s">
        <v>1462</v>
      </c>
      <c r="H49" s="69" t="s">
        <v>1463</v>
      </c>
      <c r="I49" s="151"/>
      <c r="J49" s="53">
        <f>IF($I$40&gt;0,J39*$I$40/((1+$I$40)^$I$41-1),0)</f>
        <v>8541.8505110192546</v>
      </c>
      <c r="K49" s="74" t="s">
        <v>1464</v>
      </c>
    </row>
    <row r="50" spans="2:11" ht="15" customHeight="1" x14ac:dyDescent="0.35">
      <c r="B50" s="67">
        <v>100000</v>
      </c>
      <c r="C50" s="67">
        <f>$C$31+100000*$C$32</f>
        <v>4800</v>
      </c>
      <c r="D50" s="67">
        <f>100000*$C$33+$C$34</f>
        <v>720</v>
      </c>
      <c r="H50" s="60" t="s">
        <v>1465</v>
      </c>
      <c r="I50" s="151"/>
      <c r="J50" s="191">
        <f>J48+J49</f>
        <v>44241.850511019256</v>
      </c>
      <c r="K50" s="74" t="s">
        <v>1466</v>
      </c>
    </row>
    <row r="51" spans="2:11" ht="15" customHeight="1" x14ac:dyDescent="0.35">
      <c r="B51" s="67">
        <v>200000</v>
      </c>
      <c r="C51" s="67">
        <f>$C$31+200000*$C$32</f>
        <v>5100</v>
      </c>
      <c r="D51" s="67">
        <f>200000*$C$33+$C$34</f>
        <v>1320</v>
      </c>
      <c r="H51" s="69" t="s">
        <v>1467</v>
      </c>
      <c r="I51" s="151"/>
      <c r="J51" s="53">
        <f>$I$37*$I$43</f>
        <v>26250.000000000004</v>
      </c>
      <c r="K51" s="74" t="s">
        <v>1468</v>
      </c>
    </row>
    <row r="52" spans="2:11" ht="15" customHeight="1" x14ac:dyDescent="0.35">
      <c r="B52" s="67">
        <v>300000</v>
      </c>
      <c r="C52" s="67">
        <f>$C$31+300000*$C$32</f>
        <v>5400</v>
      </c>
      <c r="D52" s="67">
        <f>300000*$C$33+$C$34</f>
        <v>1920</v>
      </c>
      <c r="H52" s="69" t="s">
        <v>1469</v>
      </c>
      <c r="I52" s="151"/>
      <c r="J52" s="53">
        <f>$I$45+J51-$I$44-J50</f>
        <v>4008.1494889807436</v>
      </c>
      <c r="K52" s="74" t="s">
        <v>1470</v>
      </c>
    </row>
    <row r="53" spans="2:11" ht="15" customHeight="1" x14ac:dyDescent="0.35">
      <c r="B53" s="67">
        <v>400000</v>
      </c>
      <c r="C53" s="67">
        <f>$C$31+400000*$C$32</f>
        <v>5700</v>
      </c>
      <c r="D53" s="67">
        <f>400000*$C$33+$C$34</f>
        <v>2520</v>
      </c>
      <c r="H53" s="23" t="s">
        <v>1471</v>
      </c>
      <c r="I53" s="140"/>
      <c r="J53" s="192" t="str">
        <f>IF(J52&gt;=0,"✅ Positive cash flow","⚠ Negative — need more contributions")</f>
        <v>✅ Positive cash flow</v>
      </c>
      <c r="K53" s="141" t="s">
        <v>1472</v>
      </c>
    </row>
    <row r="54" spans="2:11" ht="15" customHeight="1" x14ac:dyDescent="0.35">
      <c r="B54" s="67">
        <v>500000</v>
      </c>
      <c r="C54" s="67">
        <f>$C$31+500000*$C$32</f>
        <v>6000</v>
      </c>
      <c r="D54" s="67">
        <f>500000*$C$33+$C$34</f>
        <v>3120</v>
      </c>
      <c r="H54" s="187" t="s">
        <v>1473</v>
      </c>
      <c r="I54" s="151"/>
      <c r="J54" s="176">
        <f>$I$37*(1+$I$42)^$I$41</f>
        <v>1999377.2486155676</v>
      </c>
      <c r="K54" s="74" t="s">
        <v>1474</v>
      </c>
    </row>
    <row r="55" spans="2:11" ht="15" customHeight="1" x14ac:dyDescent="0.35">
      <c r="B55" s="67">
        <v>600000</v>
      </c>
      <c r="C55" s="67">
        <f>$C$31+600000*$C$32</f>
        <v>6300</v>
      </c>
      <c r="D55" s="67">
        <f>600000*$C$33+$C$34</f>
        <v>3720</v>
      </c>
      <c r="H55" s="60" t="s">
        <v>1475</v>
      </c>
      <c r="I55" s="151"/>
      <c r="J55" s="191">
        <f>J48*$I$41</f>
        <v>892500</v>
      </c>
      <c r="K55" s="74" t="s">
        <v>1476</v>
      </c>
    </row>
    <row r="56" spans="2:11" ht="15" customHeight="1" x14ac:dyDescent="0.35">
      <c r="B56" s="67">
        <v>750000</v>
      </c>
      <c r="C56" s="67">
        <f>$C$31+750000*$C$32</f>
        <v>6750</v>
      </c>
      <c r="D56" s="67">
        <f>750000*$C$33+$C$34</f>
        <v>4620</v>
      </c>
      <c r="H56" s="187" t="s">
        <v>1477</v>
      </c>
      <c r="I56" s="151"/>
      <c r="J56" s="176">
        <f>J54-$I$37-J55</f>
        <v>356877.24861556757</v>
      </c>
      <c r="K56" s="74" t="s">
        <v>1478</v>
      </c>
    </row>
    <row r="57" spans="2:11" ht="15" customHeight="1" x14ac:dyDescent="0.35">
      <c r="B57" s="67">
        <v>1000000</v>
      </c>
      <c r="C57" s="67">
        <f>$C$31+1000000*$C$32</f>
        <v>7500</v>
      </c>
      <c r="D57" s="67">
        <f>1000000*$C$33+$C$34</f>
        <v>6120</v>
      </c>
      <c r="H57" s="23" t="s">
        <v>1479</v>
      </c>
      <c r="I57" s="140"/>
      <c r="J57" s="140"/>
      <c r="K57" s="141"/>
    </row>
    <row r="58" spans="2:11" ht="15" customHeight="1" x14ac:dyDescent="0.35">
      <c r="B58" s="67">
        <v>1500000</v>
      </c>
      <c r="C58" s="67">
        <f>$C$31+1500000*$C$32</f>
        <v>9000</v>
      </c>
      <c r="D58" s="67">
        <f>1500000*$C$33+$C$34</f>
        <v>9120</v>
      </c>
      <c r="H58" s="193" t="s">
        <v>1480</v>
      </c>
      <c r="I58" s="151"/>
      <c r="J58" s="194" t="s">
        <v>1481</v>
      </c>
      <c r="K58" s="74" t="s">
        <v>1482</v>
      </c>
    </row>
    <row r="59" spans="2:11" ht="15" customHeight="1" x14ac:dyDescent="0.35">
      <c r="B59" s="67">
        <v>2000000</v>
      </c>
      <c r="C59" s="67">
        <f>$C$31+2000000*$C$32</f>
        <v>10500</v>
      </c>
      <c r="D59" s="67">
        <f>2000000*$C$33+$C$34</f>
        <v>12120</v>
      </c>
      <c r="H59" s="69" t="s">
        <v>1483</v>
      </c>
      <c r="I59" s="151"/>
      <c r="J59" s="180" t="s">
        <v>1484</v>
      </c>
      <c r="K59" s="74" t="s">
        <v>1485</v>
      </c>
    </row>
    <row r="60" spans="2:11" ht="21.75" customHeight="1" x14ac:dyDescent="0.35">
      <c r="H60" s="29" t="s">
        <v>1486</v>
      </c>
      <c r="I60" s="28"/>
      <c r="J60" s="181" t="s">
        <v>1487</v>
      </c>
      <c r="K60" s="148" t="s">
        <v>1488</v>
      </c>
    </row>
    <row r="61" spans="2:11" ht="21.75" customHeight="1" x14ac:dyDescent="0.35">
      <c r="H61" s="29" t="s">
        <v>1489</v>
      </c>
      <c r="I61" s="28"/>
      <c r="J61" s="149" t="s">
        <v>1490</v>
      </c>
      <c r="K61" s="148" t="s">
        <v>1491</v>
      </c>
    </row>
    <row r="62" spans="2:11" ht="21.75" customHeight="1" x14ac:dyDescent="0.35">
      <c r="H62" s="183" t="s">
        <v>1492</v>
      </c>
      <c r="I62" s="140"/>
      <c r="J62" s="195" t="s">
        <v>1493</v>
      </c>
      <c r="K62" s="141" t="s">
        <v>1494</v>
      </c>
    </row>
    <row r="67" spans="1:24" ht="36" customHeight="1" x14ac:dyDescent="0.35">
      <c r="A67" s="2" t="s">
        <v>1495</v>
      </c>
      <c r="B67" s="2"/>
      <c r="C67" s="2"/>
      <c r="D67" s="2"/>
      <c r="E67" s="2"/>
      <c r="F67" s="2"/>
      <c r="G67" s="2"/>
      <c r="H67" s="2"/>
      <c r="I67" s="2"/>
      <c r="J67" s="2"/>
      <c r="K67" s="2"/>
      <c r="L67" s="2"/>
      <c r="M67" s="2"/>
      <c r="N67" s="2"/>
      <c r="O67" s="2"/>
      <c r="P67" s="2"/>
      <c r="Q67" s="2"/>
      <c r="R67" s="2"/>
      <c r="S67" s="2"/>
      <c r="T67" s="2"/>
      <c r="U67" s="2"/>
      <c r="V67" s="2"/>
      <c r="W67" s="2"/>
      <c r="X67" s="2"/>
    </row>
  </sheetData>
  <mergeCells count="40">
    <mergeCell ref="B37:F37"/>
    <mergeCell ref="A47:F47"/>
    <mergeCell ref="A67:X67"/>
    <mergeCell ref="T30:X30"/>
    <mergeCell ref="T31:X31"/>
    <mergeCell ref="T32:X32"/>
    <mergeCell ref="T33:X33"/>
    <mergeCell ref="H34:K34"/>
    <mergeCell ref="T26:X26"/>
    <mergeCell ref="T27:X27"/>
    <mergeCell ref="A28:F28"/>
    <mergeCell ref="T28:X28"/>
    <mergeCell ref="T29:X29"/>
    <mergeCell ref="T21:X21"/>
    <mergeCell ref="T22:X22"/>
    <mergeCell ref="T23:X23"/>
    <mergeCell ref="T24:X24"/>
    <mergeCell ref="T25:X25"/>
    <mergeCell ref="T16:X16"/>
    <mergeCell ref="T17:X17"/>
    <mergeCell ref="T18:X18"/>
    <mergeCell ref="T19:X19"/>
    <mergeCell ref="T20:X20"/>
    <mergeCell ref="T11:X11"/>
    <mergeCell ref="T12:X12"/>
    <mergeCell ref="T13:X13"/>
    <mergeCell ref="T14:X14"/>
    <mergeCell ref="T15:X15"/>
    <mergeCell ref="T6:X6"/>
    <mergeCell ref="T7:X7"/>
    <mergeCell ref="T8:X8"/>
    <mergeCell ref="T9:X9"/>
    <mergeCell ref="T10:X10"/>
    <mergeCell ref="A1:X1"/>
    <mergeCell ref="A2:X2"/>
    <mergeCell ref="A4:F4"/>
    <mergeCell ref="H4:K4"/>
    <mergeCell ref="M4:O4"/>
    <mergeCell ref="Q4:S4"/>
    <mergeCell ref="T4:X4"/>
  </mergeCells>
  <pageMargins left="0.75" right="0.75" top="1" bottom="1" header="0.511811023622047" footer="0.511811023622047"/>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A8C6B"/>
  </sheetPr>
  <dimension ref="A1:X62"/>
  <sheetViews>
    <sheetView showGridLines="0" zoomScaleNormal="100" workbookViewId="0">
      <pane xSplit="2" ySplit="4" topLeftCell="C97" activePane="bottomRight" state="frozen"/>
      <selection pane="topRight" activeCell="C1" sqref="C1"/>
      <selection pane="bottomLeft" activeCell="A97" sqref="A97"/>
      <selection pane="bottomRight" activeCell="K33" sqref="K33"/>
    </sheetView>
  </sheetViews>
  <sheetFormatPr defaultColWidth="8.6328125" defaultRowHeight="14.5" x14ac:dyDescent="0.35"/>
  <cols>
    <col min="1" max="1" width="2" customWidth="1"/>
    <col min="2" max="2" width="30" customWidth="1"/>
    <col min="3" max="6" width="14" customWidth="1"/>
    <col min="7" max="7" width="2" customWidth="1"/>
    <col min="8" max="8" width="30" customWidth="1"/>
    <col min="9" max="11" width="14" customWidth="1"/>
    <col min="12" max="12" width="2" customWidth="1"/>
    <col min="13" max="13" width="30" customWidth="1"/>
    <col min="14" max="15" width="14" customWidth="1"/>
    <col min="16" max="16" width="2" customWidth="1"/>
    <col min="17" max="17" width="30" customWidth="1"/>
    <col min="18" max="18" width="14" customWidth="1"/>
    <col min="19" max="19" width="2" customWidth="1"/>
    <col min="20" max="20" width="22" customWidth="1"/>
    <col min="21" max="24" width="2" customWidth="1"/>
  </cols>
  <sheetData>
    <row r="1" spans="1:24" ht="43.5" customHeight="1" x14ac:dyDescent="0.35">
      <c r="A1" s="9" t="s">
        <v>1496</v>
      </c>
      <c r="B1" s="9"/>
      <c r="C1" s="9"/>
      <c r="D1" s="9"/>
      <c r="E1" s="9"/>
      <c r="F1" s="9"/>
      <c r="G1" s="9"/>
      <c r="H1" s="9"/>
      <c r="I1" s="9"/>
      <c r="J1" s="9"/>
      <c r="K1" s="9"/>
      <c r="L1" s="9"/>
      <c r="M1" s="9"/>
      <c r="N1" s="9"/>
      <c r="O1" s="9"/>
      <c r="P1" s="9"/>
      <c r="Q1" s="9"/>
      <c r="R1" s="9"/>
      <c r="S1" s="9"/>
      <c r="T1" s="9"/>
      <c r="U1" s="9"/>
      <c r="V1" s="9"/>
      <c r="W1" s="9"/>
      <c r="X1" s="9"/>
    </row>
    <row r="2" spans="1:24" ht="18" customHeight="1" x14ac:dyDescent="0.35">
      <c r="A2" s="8" t="s">
        <v>1497</v>
      </c>
      <c r="B2" s="8"/>
      <c r="C2" s="8"/>
      <c r="D2" s="8"/>
      <c r="E2" s="8"/>
      <c r="F2" s="8"/>
      <c r="G2" s="8"/>
      <c r="H2" s="8"/>
      <c r="I2" s="8"/>
      <c r="J2" s="8"/>
      <c r="K2" s="8"/>
      <c r="L2" s="8"/>
      <c r="M2" s="8"/>
      <c r="N2" s="8"/>
      <c r="O2" s="8"/>
      <c r="P2" s="8"/>
      <c r="Q2" s="8"/>
      <c r="R2" s="8"/>
      <c r="S2" s="8"/>
      <c r="T2" s="8"/>
      <c r="U2" s="8"/>
      <c r="V2" s="8"/>
      <c r="W2" s="8"/>
      <c r="X2" s="8"/>
    </row>
    <row r="3" spans="1:24" ht="7.5" customHeight="1" x14ac:dyDescent="0.35">
      <c r="A3" s="19"/>
      <c r="B3" s="19"/>
      <c r="C3" s="19"/>
      <c r="D3" s="19"/>
      <c r="E3" s="19"/>
      <c r="F3" s="19"/>
      <c r="G3" s="19"/>
      <c r="H3" s="19"/>
      <c r="I3" s="19"/>
      <c r="J3" s="19"/>
      <c r="K3" s="19"/>
      <c r="L3" s="19"/>
      <c r="M3" s="19"/>
      <c r="N3" s="19"/>
      <c r="O3" s="19"/>
      <c r="P3" s="19"/>
      <c r="Q3" s="19"/>
      <c r="R3" s="19"/>
      <c r="S3" s="19"/>
      <c r="T3" s="19"/>
      <c r="U3" s="19"/>
      <c r="V3" s="19"/>
      <c r="W3" s="19"/>
      <c r="X3" s="19"/>
    </row>
    <row r="4" spans="1:24" ht="19.5" customHeight="1" x14ac:dyDescent="0.35">
      <c r="A4" s="7" t="s">
        <v>1498</v>
      </c>
      <c r="B4" s="7"/>
      <c r="C4" s="7"/>
      <c r="D4" s="7"/>
      <c r="E4" s="7"/>
      <c r="F4" s="7"/>
      <c r="H4" s="7" t="s">
        <v>1499</v>
      </c>
      <c r="I4" s="7"/>
      <c r="J4" s="7"/>
      <c r="K4" s="7"/>
      <c r="M4" s="7" t="s">
        <v>1500</v>
      </c>
      <c r="N4" s="7"/>
      <c r="O4" s="7"/>
      <c r="Q4" s="7" t="s">
        <v>1501</v>
      </c>
      <c r="R4" s="7"/>
      <c r="S4" s="7"/>
    </row>
    <row r="5" spans="1:24" ht="36" customHeight="1" x14ac:dyDescent="0.35">
      <c r="B5" s="15" t="s">
        <v>1502</v>
      </c>
      <c r="C5" s="20" t="s">
        <v>1503</v>
      </c>
      <c r="D5" s="20" t="s">
        <v>1504</v>
      </c>
      <c r="E5" s="20" t="s">
        <v>1505</v>
      </c>
      <c r="F5" s="20" t="s">
        <v>1506</v>
      </c>
      <c r="H5" s="15" t="s">
        <v>1507</v>
      </c>
      <c r="I5" s="20" t="s">
        <v>1508</v>
      </c>
      <c r="J5" s="20" t="s">
        <v>1509</v>
      </c>
      <c r="K5" s="20" t="s">
        <v>1510</v>
      </c>
      <c r="M5" s="15" t="s">
        <v>1511</v>
      </c>
      <c r="N5" s="15" t="s">
        <v>1512</v>
      </c>
      <c r="O5" s="15" t="s">
        <v>1513</v>
      </c>
      <c r="Q5" s="15" t="s">
        <v>1514</v>
      </c>
      <c r="R5" s="20" t="s">
        <v>1515</v>
      </c>
      <c r="S5" s="20" t="s">
        <v>1516</v>
      </c>
    </row>
    <row r="6" spans="1:24" ht="21.75" customHeight="1" x14ac:dyDescent="0.35">
      <c r="B6" s="23" t="s">
        <v>1517</v>
      </c>
      <c r="C6" s="196"/>
      <c r="D6" s="196"/>
      <c r="E6" s="197">
        <v>3.9</v>
      </c>
      <c r="F6" s="178"/>
      <c r="H6" s="23" t="s">
        <v>1518</v>
      </c>
      <c r="I6" s="71"/>
      <c r="J6" s="71"/>
      <c r="K6" s="179"/>
      <c r="M6" s="23" t="s">
        <v>1519</v>
      </c>
      <c r="N6" s="71"/>
      <c r="O6" s="71"/>
      <c r="Q6" s="23" t="s">
        <v>1520</v>
      </c>
      <c r="R6" s="71"/>
      <c r="S6" s="179"/>
    </row>
    <row r="7" spans="1:24" ht="21.75" customHeight="1" x14ac:dyDescent="0.35">
      <c r="B7" s="198" t="s">
        <v>1521</v>
      </c>
      <c r="C7" s="199">
        <v>0.38200000000000001</v>
      </c>
      <c r="D7" s="199">
        <v>0.4</v>
      </c>
      <c r="E7" s="200">
        <v>1.56</v>
      </c>
      <c r="F7" s="74" t="s">
        <v>1522</v>
      </c>
      <c r="H7" s="29" t="s">
        <v>1523</v>
      </c>
      <c r="I7" s="72" t="s">
        <v>1524</v>
      </c>
      <c r="J7" s="72" t="s">
        <v>1525</v>
      </c>
      <c r="K7" s="184" t="s">
        <v>1526</v>
      </c>
      <c r="M7" s="29" t="s">
        <v>1527</v>
      </c>
      <c r="N7" s="164" t="s">
        <v>1528</v>
      </c>
      <c r="O7" s="73" t="s">
        <v>1529</v>
      </c>
      <c r="Q7" s="29" t="s">
        <v>1530</v>
      </c>
      <c r="R7" s="72" t="s">
        <v>1531</v>
      </c>
      <c r="S7" s="184" t="s">
        <v>1532</v>
      </c>
    </row>
    <row r="8" spans="1:24" ht="21.75" customHeight="1" x14ac:dyDescent="0.35">
      <c r="B8" s="165" t="s">
        <v>1533</v>
      </c>
      <c r="C8" s="201">
        <v>0.28799999999999998</v>
      </c>
      <c r="D8" s="201">
        <v>0.27500000000000002</v>
      </c>
      <c r="E8" s="202">
        <v>1.07</v>
      </c>
      <c r="F8" s="203" t="s">
        <v>1534</v>
      </c>
      <c r="H8" s="60" t="s">
        <v>1535</v>
      </c>
      <c r="I8" s="73" t="s">
        <v>1536</v>
      </c>
      <c r="J8" s="73" t="s">
        <v>1537</v>
      </c>
      <c r="K8" s="170" t="s">
        <v>1538</v>
      </c>
      <c r="M8" s="29" t="s">
        <v>1539</v>
      </c>
      <c r="N8" s="164" t="s">
        <v>1540</v>
      </c>
      <c r="O8" s="73" t="s">
        <v>1541</v>
      </c>
      <c r="Q8" s="29" t="s">
        <v>1542</v>
      </c>
      <c r="R8" s="72" t="s">
        <v>1543</v>
      </c>
      <c r="S8" s="184" t="s">
        <v>1544</v>
      </c>
    </row>
    <row r="9" spans="1:24" ht="21.75" customHeight="1" x14ac:dyDescent="0.35">
      <c r="B9" s="60" t="s">
        <v>1545</v>
      </c>
      <c r="C9" s="199">
        <v>0.3</v>
      </c>
      <c r="D9" s="199">
        <v>0.27</v>
      </c>
      <c r="E9" s="200">
        <v>1.05</v>
      </c>
      <c r="F9" s="74" t="s">
        <v>1546</v>
      </c>
      <c r="H9" s="29" t="s">
        <v>1547</v>
      </c>
      <c r="I9" s="72" t="s">
        <v>1548</v>
      </c>
      <c r="J9" s="72" t="s">
        <v>1549</v>
      </c>
      <c r="K9" s="184" t="s">
        <v>1550</v>
      </c>
      <c r="M9" s="29" t="s">
        <v>1551</v>
      </c>
      <c r="N9" s="164" t="s">
        <v>1552</v>
      </c>
      <c r="O9" s="170" t="s">
        <v>1553</v>
      </c>
      <c r="Q9" s="23" t="s">
        <v>1554</v>
      </c>
      <c r="R9" s="71"/>
      <c r="S9" s="179"/>
    </row>
    <row r="10" spans="1:24" ht="21.75" customHeight="1" x14ac:dyDescent="0.35">
      <c r="B10" s="69" t="s">
        <v>1555</v>
      </c>
      <c r="C10" s="199">
        <v>1.7999999999999999E-2</v>
      </c>
      <c r="D10" s="199">
        <v>1.7000000000000001E-2</v>
      </c>
      <c r="E10" s="200">
        <v>6.6000000000000003E-2</v>
      </c>
      <c r="F10" s="74" t="s">
        <v>1556</v>
      </c>
      <c r="H10" s="23" t="s">
        <v>1557</v>
      </c>
      <c r="I10" s="71"/>
      <c r="J10" s="71"/>
      <c r="K10" s="179"/>
      <c r="M10" s="23" t="s">
        <v>1558</v>
      </c>
      <c r="N10" s="71"/>
      <c r="O10" s="71"/>
      <c r="Q10" s="29" t="s">
        <v>1559</v>
      </c>
      <c r="R10" s="72" t="s">
        <v>1560</v>
      </c>
      <c r="S10" s="204" t="s">
        <v>1561</v>
      </c>
    </row>
    <row r="11" spans="1:24" ht="21.75" customHeight="1" x14ac:dyDescent="0.35">
      <c r="B11" s="205" t="s">
        <v>1562</v>
      </c>
      <c r="C11" s="206">
        <v>1.2E-2</v>
      </c>
      <c r="D11" s="206">
        <v>1.0999999999999999E-2</v>
      </c>
      <c r="E11" s="207">
        <v>4.2999999999999997E-2</v>
      </c>
      <c r="F11" s="208" t="s">
        <v>1563</v>
      </c>
      <c r="H11" s="183" t="s">
        <v>1564</v>
      </c>
      <c r="I11" s="71" t="s">
        <v>1565</v>
      </c>
      <c r="J11" s="71" t="s">
        <v>1566</v>
      </c>
      <c r="K11" s="179" t="s">
        <v>1567</v>
      </c>
      <c r="M11" s="29" t="s">
        <v>186</v>
      </c>
      <c r="N11" s="164" t="s">
        <v>1568</v>
      </c>
      <c r="O11" s="73" t="s">
        <v>1569</v>
      </c>
      <c r="Q11" s="60" t="s">
        <v>1570</v>
      </c>
      <c r="R11" s="73" t="s">
        <v>1571</v>
      </c>
      <c r="S11" s="170" t="s">
        <v>1572</v>
      </c>
    </row>
    <row r="12" spans="1:24" ht="21.75" customHeight="1" x14ac:dyDescent="0.35">
      <c r="B12" s="23" t="s">
        <v>1573</v>
      </c>
      <c r="C12" s="196"/>
      <c r="D12" s="196"/>
      <c r="E12" s="196"/>
      <c r="F12" s="178"/>
      <c r="H12" s="60" t="s">
        <v>1574</v>
      </c>
      <c r="I12" s="73" t="s">
        <v>1575</v>
      </c>
      <c r="J12" s="73" t="s">
        <v>1576</v>
      </c>
      <c r="K12" s="170" t="s">
        <v>1577</v>
      </c>
      <c r="M12" s="29" t="s">
        <v>1578</v>
      </c>
      <c r="N12" s="164" t="s">
        <v>1579</v>
      </c>
      <c r="O12" s="170" t="s">
        <v>1580</v>
      </c>
      <c r="Q12" s="60" t="s">
        <v>1581</v>
      </c>
      <c r="R12" s="73" t="s">
        <v>1582</v>
      </c>
      <c r="S12" s="170" t="s">
        <v>1583</v>
      </c>
    </row>
    <row r="13" spans="1:24" ht="21.75" customHeight="1" x14ac:dyDescent="0.35">
      <c r="B13" s="29" t="s">
        <v>1584</v>
      </c>
      <c r="C13" s="28"/>
      <c r="D13" s="28"/>
      <c r="E13" s="209">
        <v>3.9</v>
      </c>
      <c r="F13" s="148" t="s">
        <v>1585</v>
      </c>
      <c r="H13" s="29" t="s">
        <v>1586</v>
      </c>
      <c r="I13" s="72" t="s">
        <v>1587</v>
      </c>
      <c r="J13" s="72" t="s">
        <v>1588</v>
      </c>
      <c r="K13" s="184" t="s">
        <v>1589</v>
      </c>
      <c r="M13" s="29" t="s">
        <v>1590</v>
      </c>
      <c r="N13" s="164" t="s">
        <v>1591</v>
      </c>
      <c r="O13" s="170" t="s">
        <v>1592</v>
      </c>
      <c r="Q13" s="23" t="s">
        <v>1593</v>
      </c>
      <c r="R13" s="71"/>
      <c r="S13" s="179"/>
    </row>
    <row r="14" spans="1:24" ht="21.75" customHeight="1" x14ac:dyDescent="0.35">
      <c r="B14" s="29" t="s">
        <v>1594</v>
      </c>
      <c r="C14" s="28"/>
      <c r="D14" s="28"/>
      <c r="E14" s="28"/>
      <c r="F14" s="148" t="s">
        <v>1595</v>
      </c>
      <c r="H14" s="23" t="s">
        <v>1596</v>
      </c>
      <c r="I14" s="71"/>
      <c r="J14" s="71"/>
      <c r="K14" s="179"/>
      <c r="M14" s="23" t="s">
        <v>1597</v>
      </c>
      <c r="N14" s="71"/>
      <c r="O14" s="71"/>
      <c r="Q14" s="29" t="s">
        <v>1598</v>
      </c>
      <c r="R14" s="72" t="s">
        <v>1599</v>
      </c>
      <c r="S14" s="184" t="s">
        <v>1600</v>
      </c>
    </row>
    <row r="15" spans="1:24" ht="21.75" customHeight="1" x14ac:dyDescent="0.35">
      <c r="B15" s="29" t="s">
        <v>1601</v>
      </c>
      <c r="C15" s="28"/>
      <c r="D15" s="28"/>
      <c r="E15" s="28"/>
      <c r="F15" s="148" t="s">
        <v>1602</v>
      </c>
      <c r="H15" s="29" t="s">
        <v>1603</v>
      </c>
      <c r="I15" s="72" t="s">
        <v>1604</v>
      </c>
      <c r="J15" s="72" t="s">
        <v>1605</v>
      </c>
      <c r="K15" s="184" t="s">
        <v>1606</v>
      </c>
      <c r="M15" s="29" t="s">
        <v>1194</v>
      </c>
      <c r="N15" s="164" t="s">
        <v>1607</v>
      </c>
      <c r="O15" s="73" t="s">
        <v>1608</v>
      </c>
      <c r="Q15" s="29" t="s">
        <v>1609</v>
      </c>
      <c r="R15" s="72" t="s">
        <v>1610</v>
      </c>
      <c r="S15" s="184" t="s">
        <v>1611</v>
      </c>
    </row>
    <row r="16" spans="1:24" ht="21.75" customHeight="1" x14ac:dyDescent="0.35">
      <c r="B16" s="29" t="s">
        <v>1612</v>
      </c>
      <c r="C16" s="28"/>
      <c r="D16" s="28"/>
      <c r="E16" s="28"/>
      <c r="F16" s="148" t="s">
        <v>1613</v>
      </c>
      <c r="H16" s="29" t="s">
        <v>1614</v>
      </c>
      <c r="I16" s="72" t="s">
        <v>1615</v>
      </c>
      <c r="J16" s="72" t="s">
        <v>1616</v>
      </c>
      <c r="K16" s="184" t="s">
        <v>1617</v>
      </c>
      <c r="M16" s="29" t="s">
        <v>1618</v>
      </c>
      <c r="N16" s="164" t="s">
        <v>1619</v>
      </c>
      <c r="O16" s="73" t="s">
        <v>1620</v>
      </c>
      <c r="Q16" s="29" t="s">
        <v>1621</v>
      </c>
      <c r="R16" s="72" t="s">
        <v>1622</v>
      </c>
      <c r="S16" s="184" t="s">
        <v>1623</v>
      </c>
    </row>
    <row r="17" spans="1:24" ht="21.75" customHeight="1" x14ac:dyDescent="0.35">
      <c r="B17" s="69" t="s">
        <v>1624</v>
      </c>
      <c r="C17" s="151"/>
      <c r="D17" s="151"/>
      <c r="E17" s="151"/>
      <c r="F17" s="74" t="s">
        <v>1625</v>
      </c>
      <c r="H17" s="60" t="s">
        <v>1626</v>
      </c>
      <c r="I17" s="73" t="s">
        <v>1627</v>
      </c>
      <c r="J17" s="73" t="s">
        <v>1628</v>
      </c>
      <c r="K17" s="170" t="s">
        <v>1629</v>
      </c>
      <c r="M17" s="23" t="s">
        <v>1630</v>
      </c>
      <c r="N17" s="71"/>
      <c r="O17" s="71"/>
      <c r="Q17" s="23" t="s">
        <v>1631</v>
      </c>
      <c r="R17" s="71"/>
      <c r="S17" s="179"/>
    </row>
    <row r="18" spans="1:24" ht="21.75" customHeight="1" x14ac:dyDescent="0.35">
      <c r="B18" s="23" t="s">
        <v>1632</v>
      </c>
      <c r="C18" s="196"/>
      <c r="D18" s="196"/>
      <c r="E18" s="196"/>
      <c r="F18" s="178"/>
      <c r="H18" s="23" t="s">
        <v>1633</v>
      </c>
      <c r="I18" s="71"/>
      <c r="J18" s="71"/>
      <c r="K18" s="179"/>
      <c r="M18" s="29" t="s">
        <v>1634</v>
      </c>
      <c r="N18" s="164" t="s">
        <v>1635</v>
      </c>
      <c r="O18" s="170" t="s">
        <v>1636</v>
      </c>
      <c r="Q18" s="60" t="s">
        <v>1637</v>
      </c>
      <c r="R18" s="73" t="s">
        <v>1638</v>
      </c>
      <c r="S18" s="170" t="s">
        <v>1639</v>
      </c>
    </row>
    <row r="19" spans="1:24" ht="21.75" customHeight="1" x14ac:dyDescent="0.35">
      <c r="B19" s="29" t="s">
        <v>1640</v>
      </c>
      <c r="C19" s="28"/>
      <c r="D19" s="28"/>
      <c r="E19" s="28"/>
      <c r="F19" s="148" t="s">
        <v>1641</v>
      </c>
      <c r="H19" s="29" t="s">
        <v>1642</v>
      </c>
      <c r="I19" s="72" t="s">
        <v>1643</v>
      </c>
      <c r="J19" s="72" t="s">
        <v>1644</v>
      </c>
      <c r="K19" s="184" t="s">
        <v>1645</v>
      </c>
      <c r="M19" s="29" t="s">
        <v>1646</v>
      </c>
      <c r="N19" s="164" t="s">
        <v>1647</v>
      </c>
      <c r="O19" s="170" t="s">
        <v>1648</v>
      </c>
      <c r="Q19" s="29" t="s">
        <v>1649</v>
      </c>
      <c r="R19" s="72" t="s">
        <v>1650</v>
      </c>
      <c r="S19" s="184" t="s">
        <v>1651</v>
      </c>
    </row>
    <row r="20" spans="1:24" ht="21.75" customHeight="1" x14ac:dyDescent="0.35">
      <c r="B20" s="29" t="s">
        <v>1652</v>
      </c>
      <c r="C20" s="28"/>
      <c r="D20" s="28"/>
      <c r="E20" s="28"/>
      <c r="F20" s="148" t="s">
        <v>1653</v>
      </c>
      <c r="H20" s="29" t="s">
        <v>1654</v>
      </c>
      <c r="I20" s="72" t="s">
        <v>1655</v>
      </c>
      <c r="J20" s="72" t="s">
        <v>1656</v>
      </c>
      <c r="K20" s="184" t="s">
        <v>1657</v>
      </c>
      <c r="M20" s="23" t="s">
        <v>1658</v>
      </c>
      <c r="N20" s="71"/>
      <c r="O20" s="71"/>
      <c r="Q20" s="29" t="s">
        <v>1659</v>
      </c>
      <c r="R20" s="72" t="s">
        <v>1660</v>
      </c>
      <c r="S20" s="184" t="s">
        <v>1661</v>
      </c>
    </row>
    <row r="21" spans="1:24" ht="21.75" customHeight="1" x14ac:dyDescent="0.35">
      <c r="B21" s="29" t="s">
        <v>1662</v>
      </c>
      <c r="C21" s="28"/>
      <c r="D21" s="28"/>
      <c r="E21" s="28"/>
      <c r="F21" s="148" t="s">
        <v>1663</v>
      </c>
      <c r="H21" s="29" t="s">
        <v>1664</v>
      </c>
      <c r="I21" s="72" t="s">
        <v>1665</v>
      </c>
      <c r="J21" s="72" t="s">
        <v>1666</v>
      </c>
      <c r="K21" s="184" t="s">
        <v>1667</v>
      </c>
      <c r="M21" s="29" t="s">
        <v>1668</v>
      </c>
      <c r="N21" s="164" t="s">
        <v>1669</v>
      </c>
      <c r="O21" s="170" t="s">
        <v>1670</v>
      </c>
      <c r="Q21" s="23" t="s">
        <v>1671</v>
      </c>
      <c r="R21" s="71"/>
      <c r="S21" s="179"/>
    </row>
    <row r="22" spans="1:24" ht="21.75" customHeight="1" x14ac:dyDescent="0.35">
      <c r="B22" s="29" t="s">
        <v>1672</v>
      </c>
      <c r="C22" s="28"/>
      <c r="D22" s="28"/>
      <c r="E22" s="28"/>
      <c r="F22" s="148" t="s">
        <v>1673</v>
      </c>
      <c r="H22" s="23" t="s">
        <v>1674</v>
      </c>
      <c r="I22" s="71"/>
      <c r="J22" s="71"/>
      <c r="K22" s="179"/>
      <c r="M22" s="29" t="s">
        <v>1675</v>
      </c>
      <c r="N22" s="168" t="s">
        <v>1676</v>
      </c>
      <c r="O22" s="73" t="s">
        <v>1677</v>
      </c>
      <c r="Q22" s="60" t="s">
        <v>1678</v>
      </c>
      <c r="R22" s="73" t="s">
        <v>1679</v>
      </c>
      <c r="S22" s="170" t="s">
        <v>1680</v>
      </c>
    </row>
    <row r="23" spans="1:24" ht="21.75" customHeight="1" x14ac:dyDescent="0.35">
      <c r="H23" s="29" t="s">
        <v>1681</v>
      </c>
      <c r="I23" s="72" t="s">
        <v>1682</v>
      </c>
      <c r="J23" s="72" t="s">
        <v>1683</v>
      </c>
      <c r="K23" s="184" t="s">
        <v>1684</v>
      </c>
      <c r="M23" s="23" t="s">
        <v>190</v>
      </c>
      <c r="N23" s="71"/>
      <c r="O23" s="71"/>
      <c r="Q23" s="29" t="s">
        <v>1685</v>
      </c>
      <c r="R23" s="72" t="s">
        <v>1686</v>
      </c>
      <c r="S23" s="184" t="s">
        <v>1687</v>
      </c>
    </row>
    <row r="24" spans="1:24" ht="21.75" customHeight="1" x14ac:dyDescent="0.35">
      <c r="C24" t="s">
        <v>1688</v>
      </c>
      <c r="D24" t="s">
        <v>1689</v>
      </c>
      <c r="H24" s="29" t="s">
        <v>1690</v>
      </c>
      <c r="I24" s="72" t="s">
        <v>1691</v>
      </c>
      <c r="J24" s="72" t="s">
        <v>1692</v>
      </c>
      <c r="K24" s="184" t="s">
        <v>1693</v>
      </c>
      <c r="M24" s="29" t="s">
        <v>1694</v>
      </c>
      <c r="N24" s="164" t="s">
        <v>1695</v>
      </c>
      <c r="O24" s="73" t="s">
        <v>1696</v>
      </c>
      <c r="Q24" s="29" t="s">
        <v>1697</v>
      </c>
      <c r="R24" s="72" t="s">
        <v>1698</v>
      </c>
      <c r="S24" s="184" t="s">
        <v>1699</v>
      </c>
    </row>
    <row r="25" spans="1:24" ht="21.75" customHeight="1" x14ac:dyDescent="0.35">
      <c r="B25" s="67" t="s">
        <v>1700</v>
      </c>
      <c r="C25" s="210">
        <v>0.38200000000000001</v>
      </c>
      <c r="D25" s="210">
        <v>0.4</v>
      </c>
      <c r="M25" s="29" t="s">
        <v>1701</v>
      </c>
      <c r="N25" s="164" t="s">
        <v>1702</v>
      </c>
      <c r="O25" s="73" t="s">
        <v>1703</v>
      </c>
    </row>
    <row r="26" spans="1:24" ht="21.75" customHeight="1" x14ac:dyDescent="0.35">
      <c r="B26" s="67" t="s">
        <v>1704</v>
      </c>
      <c r="C26" s="210">
        <v>0.28799999999999998</v>
      </c>
      <c r="D26" s="210">
        <v>0.27500000000000002</v>
      </c>
      <c r="M26" s="125" t="s">
        <v>1011</v>
      </c>
      <c r="N26" s="211"/>
      <c r="O26" s="211"/>
    </row>
    <row r="27" spans="1:24" ht="6" customHeight="1" x14ac:dyDescent="0.35">
      <c r="A27" s="19"/>
      <c r="B27" s="44" t="s">
        <v>1705</v>
      </c>
      <c r="C27" s="212">
        <v>0.3</v>
      </c>
      <c r="D27" s="212">
        <v>0.27</v>
      </c>
      <c r="E27" s="19"/>
      <c r="F27" s="19"/>
      <c r="G27" s="19"/>
      <c r="H27" s="19"/>
      <c r="I27" s="19"/>
      <c r="J27" s="19"/>
      <c r="K27" s="19"/>
      <c r="L27" s="19"/>
      <c r="M27" s="45" t="s">
        <v>1706</v>
      </c>
      <c r="N27" s="213" t="s">
        <v>1707</v>
      </c>
      <c r="O27" s="213" t="s">
        <v>1708</v>
      </c>
      <c r="P27" s="19"/>
      <c r="Q27" s="19"/>
      <c r="R27" s="19"/>
      <c r="S27" s="19"/>
      <c r="T27" s="19"/>
      <c r="U27" s="19"/>
      <c r="V27" s="19"/>
      <c r="W27" s="19"/>
      <c r="X27" s="19"/>
    </row>
    <row r="28" spans="1:24" ht="19.5" customHeight="1" x14ac:dyDescent="0.35">
      <c r="B28" s="67" t="s">
        <v>1709</v>
      </c>
      <c r="C28" s="210">
        <v>1.7999999999999999E-2</v>
      </c>
      <c r="D28" s="210">
        <v>1.7000000000000001E-2</v>
      </c>
      <c r="H28" s="7" t="s">
        <v>1710</v>
      </c>
      <c r="I28" s="7"/>
      <c r="J28" s="7"/>
      <c r="K28" s="7"/>
    </row>
    <row r="29" spans="1:24" ht="36" customHeight="1" x14ac:dyDescent="0.35">
      <c r="B29" s="67" t="s">
        <v>1711</v>
      </c>
      <c r="C29" s="210">
        <v>1.2E-2</v>
      </c>
      <c r="D29" s="210">
        <v>1.0999999999999999E-2</v>
      </c>
      <c r="H29" s="15" t="s">
        <v>1712</v>
      </c>
      <c r="I29" s="20" t="s">
        <v>1713</v>
      </c>
      <c r="J29" s="20" t="s">
        <v>1714</v>
      </c>
      <c r="K29" s="20" t="s">
        <v>1715</v>
      </c>
    </row>
    <row r="30" spans="1:24" ht="6" customHeight="1" x14ac:dyDescent="0.35">
      <c r="A30" s="19"/>
      <c r="B30" s="19"/>
      <c r="C30" s="19"/>
      <c r="D30" s="19"/>
      <c r="E30" s="19"/>
      <c r="F30" s="19"/>
      <c r="G30" s="19"/>
      <c r="H30" s="40" t="s">
        <v>1716</v>
      </c>
      <c r="I30" s="41">
        <v>3</v>
      </c>
      <c r="J30" s="44"/>
      <c r="K30" s="44"/>
      <c r="L30" s="19"/>
      <c r="M30" s="19"/>
      <c r="N30" s="19"/>
      <c r="O30" s="19"/>
      <c r="P30" s="19"/>
      <c r="Q30" s="19"/>
      <c r="R30" s="19"/>
      <c r="S30" s="19"/>
      <c r="T30" s="19"/>
      <c r="U30" s="19"/>
      <c r="V30" s="19"/>
      <c r="W30" s="19"/>
      <c r="X30" s="19"/>
    </row>
    <row r="31" spans="1:24" ht="19.5" customHeight="1" x14ac:dyDescent="0.35">
      <c r="A31" s="7" t="s">
        <v>1717</v>
      </c>
      <c r="B31" s="7"/>
      <c r="C31" s="7"/>
      <c r="D31" s="7"/>
      <c r="E31" s="7"/>
      <c r="F31" s="7"/>
      <c r="G31" s="19"/>
      <c r="H31" s="25" t="s">
        <v>1718</v>
      </c>
      <c r="I31" s="26">
        <v>80000</v>
      </c>
      <c r="J31" s="28"/>
      <c r="K31" s="28"/>
      <c r="L31" s="19"/>
      <c r="M31" s="7" t="s">
        <v>1719</v>
      </c>
      <c r="N31" s="7"/>
      <c r="O31" s="7"/>
      <c r="P31" s="19"/>
      <c r="Q31" s="19"/>
      <c r="R31" s="19"/>
      <c r="S31" s="19"/>
      <c r="T31" s="19"/>
      <c r="U31" s="19"/>
      <c r="V31" s="19"/>
      <c r="W31" s="19"/>
      <c r="X31" s="19"/>
    </row>
    <row r="32" spans="1:24" ht="36" customHeight="1" x14ac:dyDescent="0.35">
      <c r="A32" s="7" t="s">
        <v>1720</v>
      </c>
      <c r="B32" s="7"/>
      <c r="C32" s="7"/>
      <c r="D32" s="7"/>
      <c r="E32" s="7"/>
      <c r="F32" s="7"/>
      <c r="H32" s="25" t="s">
        <v>1721</v>
      </c>
      <c r="I32" s="26">
        <v>180</v>
      </c>
      <c r="J32" s="28"/>
      <c r="K32" s="28"/>
      <c r="M32" s="15" t="s">
        <v>1722</v>
      </c>
      <c r="N32" s="20" t="s">
        <v>1723</v>
      </c>
      <c r="O32" s="20" t="s">
        <v>1724</v>
      </c>
    </row>
    <row r="33" spans="1:24" ht="18" customHeight="1" x14ac:dyDescent="0.35">
      <c r="B33" s="15" t="s">
        <v>1725</v>
      </c>
      <c r="C33" s="15" t="s">
        <v>1726</v>
      </c>
      <c r="D33" s="20" t="s">
        <v>1727</v>
      </c>
      <c r="E33" s="15" t="s">
        <v>1728</v>
      </c>
      <c r="F33" s="20" t="s">
        <v>1729</v>
      </c>
      <c r="H33" s="25" t="s">
        <v>1730</v>
      </c>
      <c r="I33" s="26">
        <v>400</v>
      </c>
      <c r="J33" s="28"/>
      <c r="K33" s="28"/>
      <c r="M33" s="23" t="s">
        <v>1731</v>
      </c>
      <c r="N33" s="214"/>
      <c r="O33" s="215"/>
    </row>
    <row r="34" spans="1:24" ht="18" customHeight="1" x14ac:dyDescent="0.35">
      <c r="B34" s="25" t="s">
        <v>1732</v>
      </c>
      <c r="C34" s="216" t="s">
        <v>1733</v>
      </c>
      <c r="D34" s="216" t="s">
        <v>1734</v>
      </c>
      <c r="E34" s="216" t="s">
        <v>1735</v>
      </c>
      <c r="F34" s="216" t="s">
        <v>1736</v>
      </c>
      <c r="H34" s="25" t="s">
        <v>708</v>
      </c>
      <c r="I34" s="35">
        <v>7.4999999999999997E-2</v>
      </c>
      <c r="J34" s="28"/>
      <c r="K34" s="28"/>
      <c r="M34" s="29" t="s">
        <v>1737</v>
      </c>
      <c r="N34" s="167"/>
      <c r="O34" s="217" t="s">
        <v>1738</v>
      </c>
    </row>
    <row r="35" spans="1:24" ht="18" customHeight="1" x14ac:dyDescent="0.35">
      <c r="B35" s="25" t="s">
        <v>48</v>
      </c>
      <c r="C35" s="26">
        <v>100000</v>
      </c>
      <c r="D35" s="26">
        <v>100000</v>
      </c>
      <c r="E35" s="26">
        <v>100000</v>
      </c>
      <c r="F35" s="26">
        <v>100000</v>
      </c>
      <c r="H35" s="25" t="s">
        <v>100</v>
      </c>
      <c r="I35" s="102">
        <v>30</v>
      </c>
      <c r="J35" s="28"/>
      <c r="K35" s="28"/>
      <c r="M35" s="29" t="s">
        <v>1739</v>
      </c>
      <c r="N35" s="167"/>
      <c r="O35" s="217" t="s">
        <v>1738</v>
      </c>
    </row>
    <row r="36" spans="1:24" ht="18" customHeight="1" x14ac:dyDescent="0.35">
      <c r="A36" s="19"/>
      <c r="B36" s="40" t="s">
        <v>57</v>
      </c>
      <c r="C36" s="218">
        <v>15000</v>
      </c>
      <c r="D36" s="218">
        <v>15000</v>
      </c>
      <c r="E36" s="218">
        <v>15000</v>
      </c>
      <c r="F36" s="218">
        <v>15000</v>
      </c>
      <c r="G36" s="19"/>
      <c r="H36" s="19"/>
      <c r="I36" s="19"/>
      <c r="J36" s="19"/>
      <c r="K36" s="19"/>
      <c r="L36" s="19"/>
      <c r="M36" s="29" t="s">
        <v>1740</v>
      </c>
      <c r="N36" s="167"/>
      <c r="O36" s="217" t="s">
        <v>1738</v>
      </c>
      <c r="P36" s="19"/>
      <c r="Q36" s="19"/>
      <c r="R36" s="19"/>
      <c r="S36" s="19"/>
      <c r="T36" s="19"/>
      <c r="U36" s="19"/>
      <c r="V36" s="19"/>
      <c r="W36" s="19"/>
      <c r="X36" s="19"/>
    </row>
    <row r="37" spans="1:24" ht="18" customHeight="1" x14ac:dyDescent="0.35">
      <c r="B37" s="25" t="s">
        <v>1741</v>
      </c>
      <c r="C37" s="35">
        <v>8.4000000000000005E-2</v>
      </c>
      <c r="D37" s="35">
        <v>8.3000000000000004E-2</v>
      </c>
      <c r="E37" s="35">
        <v>8.2000000000000003E-2</v>
      </c>
      <c r="F37" s="35">
        <v>6.5000000000000002E-2</v>
      </c>
      <c r="H37" s="5" t="s">
        <v>1742</v>
      </c>
      <c r="I37" s="5"/>
      <c r="J37" s="5"/>
      <c r="K37" s="5"/>
      <c r="M37" s="29" t="s">
        <v>1743</v>
      </c>
      <c r="N37" s="167"/>
      <c r="O37" s="219" t="s">
        <v>1744</v>
      </c>
    </row>
    <row r="38" spans="1:24" ht="18" customHeight="1" x14ac:dyDescent="0.35">
      <c r="B38" s="25" t="s">
        <v>1745</v>
      </c>
      <c r="C38" s="26">
        <v>137</v>
      </c>
      <c r="D38" s="26">
        <v>180</v>
      </c>
      <c r="E38" s="26">
        <v>104</v>
      </c>
      <c r="F38" s="26">
        <v>420</v>
      </c>
      <c r="H38" s="60" t="s">
        <v>1746</v>
      </c>
      <c r="I38" s="220">
        <f>$I$30*$I$32</f>
        <v>540</v>
      </c>
      <c r="J38" s="28"/>
      <c r="K38" s="74" t="s">
        <v>1747</v>
      </c>
      <c r="M38" s="23" t="s">
        <v>1558</v>
      </c>
      <c r="N38" s="214"/>
      <c r="O38" s="215"/>
    </row>
    <row r="39" spans="1:24" ht="18" customHeight="1" x14ac:dyDescent="0.35">
      <c r="B39" s="25" t="s">
        <v>1748</v>
      </c>
      <c r="C39" s="35">
        <v>5.5999999999999999E-3</v>
      </c>
      <c r="D39" s="35">
        <v>7.1000000000000004E-3</v>
      </c>
      <c r="E39" s="35">
        <v>6.3E-3</v>
      </c>
      <c r="F39" s="35">
        <v>1.2999999999999999E-2</v>
      </c>
      <c r="H39" s="60" t="s">
        <v>1749</v>
      </c>
      <c r="I39" s="220">
        <f>$I$30*$I$33</f>
        <v>1200</v>
      </c>
      <c r="J39" s="28"/>
      <c r="K39" s="74" t="s">
        <v>1750</v>
      </c>
      <c r="M39" s="29" t="s">
        <v>1751</v>
      </c>
      <c r="N39" s="167"/>
      <c r="O39" s="217" t="s">
        <v>1738</v>
      </c>
    </row>
    <row r="40" spans="1:24" ht="18" customHeight="1" x14ac:dyDescent="0.35">
      <c r="B40" s="25" t="s">
        <v>1752</v>
      </c>
      <c r="C40" s="26">
        <v>250</v>
      </c>
      <c r="D40" s="26">
        <v>280</v>
      </c>
      <c r="E40" s="26">
        <v>220</v>
      </c>
      <c r="F40" s="26">
        <v>560</v>
      </c>
      <c r="H40" s="60" t="s">
        <v>1753</v>
      </c>
      <c r="I40" s="220">
        <f>($I$30-1)*$I$32+($I$30-1)*$I$33</f>
        <v>1160</v>
      </c>
      <c r="J40" s="28"/>
      <c r="K40" s="74" t="s">
        <v>1754</v>
      </c>
      <c r="M40" s="29" t="s">
        <v>1755</v>
      </c>
      <c r="N40" s="167"/>
      <c r="O40" s="217" t="s">
        <v>1738</v>
      </c>
    </row>
    <row r="41" spans="1:24" ht="18" customHeight="1" x14ac:dyDescent="0.35">
      <c r="B41" s="25" t="s">
        <v>102</v>
      </c>
      <c r="C41" s="102">
        <v>30</v>
      </c>
      <c r="D41" s="102">
        <v>30</v>
      </c>
      <c r="E41" s="102">
        <v>30</v>
      </c>
      <c r="F41" s="102">
        <v>30</v>
      </c>
      <c r="H41" s="60" t="s">
        <v>1756</v>
      </c>
      <c r="I41" s="220">
        <f>(($I$30-1)*$I$32+($I$30-1)*$I$33)*$I$35</f>
        <v>34800</v>
      </c>
      <c r="J41" s="28"/>
      <c r="K41" s="74" t="s">
        <v>1757</v>
      </c>
      <c r="M41" s="29" t="s">
        <v>1758</v>
      </c>
      <c r="N41" s="167"/>
      <c r="O41" s="219" t="s">
        <v>1744</v>
      </c>
    </row>
    <row r="42" spans="1:24" ht="18" customHeight="1" x14ac:dyDescent="0.35">
      <c r="A42" s="19"/>
      <c r="B42" s="19"/>
      <c r="C42" s="19"/>
      <c r="D42" s="19"/>
      <c r="E42" s="19"/>
      <c r="F42" s="19"/>
      <c r="G42" s="19"/>
      <c r="H42" s="60" t="s">
        <v>1759</v>
      </c>
      <c r="I42" s="220">
        <f>(($I$30-1)*$I$32+($I$30-1)*$I$33)*((1+$I$34)^$I$35-1)/$I$34</f>
        <v>119943.30692271901</v>
      </c>
      <c r="J42" s="28"/>
      <c r="K42" s="74" t="s">
        <v>1760</v>
      </c>
      <c r="L42" s="19"/>
      <c r="M42" s="29" t="s">
        <v>1761</v>
      </c>
      <c r="N42" s="167"/>
      <c r="O42" s="219" t="s">
        <v>1744</v>
      </c>
      <c r="P42" s="19"/>
      <c r="Q42" s="19"/>
      <c r="R42" s="19"/>
      <c r="S42" s="19"/>
      <c r="T42" s="19"/>
      <c r="U42" s="19"/>
      <c r="V42" s="19"/>
      <c r="W42" s="19"/>
      <c r="X42" s="19"/>
    </row>
    <row r="43" spans="1:24" ht="18" customHeight="1" x14ac:dyDescent="0.35">
      <c r="B43" s="5" t="s">
        <v>1762</v>
      </c>
      <c r="C43" s="5"/>
      <c r="D43" s="5"/>
      <c r="E43" s="5"/>
      <c r="F43" s="5"/>
      <c r="H43" s="187" t="s">
        <v>1763</v>
      </c>
      <c r="I43" s="186">
        <f>$I$31*(1+$I$34)^$I$35</f>
        <v>700396.41511751211</v>
      </c>
      <c r="J43" s="28"/>
      <c r="K43" s="74" t="s">
        <v>1764</v>
      </c>
      <c r="M43" s="23" t="s">
        <v>1658</v>
      </c>
      <c r="N43" s="214"/>
      <c r="O43" s="215"/>
    </row>
    <row r="44" spans="1:24" ht="18" customHeight="1" x14ac:dyDescent="0.35">
      <c r="B44" s="29" t="s">
        <v>1765</v>
      </c>
      <c r="C44" s="49">
        <f>C37-C39</f>
        <v>7.8400000000000011E-2</v>
      </c>
      <c r="D44" s="49">
        <f>D37-D39</f>
        <v>7.5900000000000009E-2</v>
      </c>
      <c r="E44" s="49">
        <f>E37-E39</f>
        <v>7.5700000000000003E-2</v>
      </c>
      <c r="F44" s="49">
        <f>F37-F39</f>
        <v>5.2000000000000005E-2</v>
      </c>
      <c r="H44" s="60" t="s">
        <v>1766</v>
      </c>
      <c r="I44" s="220">
        <f>($I$31-(($I$30-1)*$I$32+($I$30-1)*$I$33)/$I$34*(1-(1+$I$34)^(-$I$35)))*(1+$I$34)^$I$35</f>
        <v>580453.10819479311</v>
      </c>
      <c r="J44" s="28"/>
      <c r="K44" s="74" t="s">
        <v>1767</v>
      </c>
      <c r="M44" s="60" t="s">
        <v>1768</v>
      </c>
      <c r="N44" s="167"/>
      <c r="O44" s="217" t="s">
        <v>1769</v>
      </c>
    </row>
    <row r="45" spans="1:24" ht="18" customHeight="1" x14ac:dyDescent="0.35">
      <c r="B45" s="60" t="s">
        <v>1770</v>
      </c>
      <c r="C45" s="220">
        <f>C38+C35*C39+C40</f>
        <v>947</v>
      </c>
      <c r="D45" s="220">
        <f>D38+D35*D39+D40</f>
        <v>1170</v>
      </c>
      <c r="E45" s="220">
        <f>E38+E35*E39+E40</f>
        <v>954</v>
      </c>
      <c r="F45" s="220">
        <f>F38+F35*F39+F40</f>
        <v>2280</v>
      </c>
      <c r="H45" s="187" t="s">
        <v>1771</v>
      </c>
      <c r="I45" s="186">
        <f>I43-I44</f>
        <v>119943.306922719</v>
      </c>
      <c r="J45" s="28"/>
      <c r="K45" s="74" t="s">
        <v>1772</v>
      </c>
      <c r="M45" s="60" t="s">
        <v>1773</v>
      </c>
      <c r="N45" s="167"/>
      <c r="O45" s="217" t="s">
        <v>1769</v>
      </c>
    </row>
    <row r="46" spans="1:24" ht="18" customHeight="1" x14ac:dyDescent="0.35">
      <c r="B46" s="29" t="s">
        <v>1774</v>
      </c>
      <c r="C46" s="49">
        <f>(C38+C35*C39+C40)/C35</f>
        <v>9.4699999999999993E-3</v>
      </c>
      <c r="D46" s="49">
        <f>(D38+D35*D39+D40)/D35</f>
        <v>1.17E-2</v>
      </c>
      <c r="E46" s="49">
        <f>(E38+E35*E39+E40)/E35</f>
        <v>9.5399999999999999E-3</v>
      </c>
      <c r="F46" s="49">
        <f>(F38+F35*F39+F40)/F35</f>
        <v>2.2800000000000001E-2</v>
      </c>
      <c r="H46" s="187" t="s">
        <v>1775</v>
      </c>
      <c r="I46" s="221">
        <f>IF($I$31&gt;0,I45/($I$31*(1+$I$34)^$I$35*0.05)*12,0)</f>
        <v>41.100144204225828</v>
      </c>
      <c r="J46" s="28"/>
      <c r="K46" s="74" t="s">
        <v>1776</v>
      </c>
      <c r="M46" s="60" t="s">
        <v>1777</v>
      </c>
      <c r="N46" s="167"/>
      <c r="O46" s="217" t="s">
        <v>1738</v>
      </c>
    </row>
    <row r="47" spans="1:24" ht="18" customHeight="1" x14ac:dyDescent="0.35">
      <c r="B47" s="187" t="s">
        <v>1778</v>
      </c>
      <c r="C47" s="186">
        <f>C35*(1+C37-C39)^C41+C36*((1+C37-C39)^C41-1)/(C37-C39)</f>
        <v>2612663.1606024052</v>
      </c>
      <c r="D47" s="186">
        <f>D35*(1+D37-D39)^D41+D36*((1+D37-D39)^D41-1)/(D37-D39)</f>
        <v>2474342.1735396036</v>
      </c>
      <c r="E47" s="186">
        <f>E35*(1+E37-E39)^E41+E36*((1+E37-E39)^E41-1)/(E37-E39)</f>
        <v>2463620.707214504</v>
      </c>
      <c r="F47" s="186">
        <f>F35*(1+F37-F39)^F41+F36*((1+F37-F39)^F41-1)/(F37-F39)</f>
        <v>1489081.8910084299</v>
      </c>
      <c r="M47" s="29" t="s">
        <v>1779</v>
      </c>
      <c r="N47" s="167"/>
      <c r="O47" s="219" t="s">
        <v>1744</v>
      </c>
    </row>
    <row r="48" spans="1:24" ht="18" customHeight="1" x14ac:dyDescent="0.35">
      <c r="B48" s="222" t="s">
        <v>161</v>
      </c>
      <c r="C48" s="223">
        <f>C47-C35-C36*C41</f>
        <v>2062663.1606024052</v>
      </c>
      <c r="D48" s="223">
        <f>D47-D35-D36*D41</f>
        <v>1924342.1735396036</v>
      </c>
      <c r="E48" s="223">
        <f>E47-E35-E36*E41</f>
        <v>1913620.707214504</v>
      </c>
      <c r="F48" s="223">
        <f>F47-F35-F36*F41</f>
        <v>939081.89100842993</v>
      </c>
      <c r="M48" s="29" t="s">
        <v>1780</v>
      </c>
      <c r="N48" s="167"/>
      <c r="O48" s="219" t="s">
        <v>1744</v>
      </c>
    </row>
    <row r="49" spans="1:24" ht="36" customHeight="1" x14ac:dyDescent="0.35">
      <c r="A49" s="2" t="s">
        <v>1781</v>
      </c>
      <c r="B49" s="2"/>
      <c r="C49" s="2"/>
      <c r="D49" s="2"/>
      <c r="E49" s="2"/>
      <c r="F49" s="2"/>
      <c r="G49" s="2"/>
      <c r="H49" s="2"/>
      <c r="I49" s="2"/>
      <c r="J49" s="2"/>
      <c r="K49" s="2"/>
      <c r="L49" s="2"/>
      <c r="M49" s="2"/>
      <c r="N49" s="2"/>
      <c r="O49" s="2"/>
      <c r="P49" s="2"/>
      <c r="Q49" s="2"/>
      <c r="R49" s="2"/>
      <c r="S49" s="2"/>
      <c r="T49" s="2"/>
      <c r="U49" s="2"/>
      <c r="V49" s="2"/>
      <c r="W49" s="2"/>
      <c r="X49" s="2"/>
    </row>
    <row r="50" spans="1:24" ht="18" customHeight="1" x14ac:dyDescent="0.35">
      <c r="B50" s="29" t="s">
        <v>1782</v>
      </c>
      <c r="C50" s="52">
        <f>(C35*(1+C37-C39)^C41+C36*((1+C37-C39)^C41-1)/(C37-C39))/(1.025^C41)</f>
        <v>1245568.0506589927</v>
      </c>
      <c r="D50" s="52">
        <f>(D35*(1+D37-D39)^D41+D36*((1+D37-D39)^D41-1)/(D37-D39))/(1.025^D41)</f>
        <v>1179624.5318697903</v>
      </c>
      <c r="E50" s="52">
        <f>(E35*(1+E37-E39)^E41+E36*((1+E37-E39)^E41-1)/(E37-E39))/(1.025^E41)</f>
        <v>1174513.1512248849</v>
      </c>
      <c r="F50" s="52">
        <f>(F35*(1+F37-F39)^F41+F36*((1+F37-F39)^F41-1)/(F37-F39))/(1.025^F41)</f>
        <v>709908.89917371667</v>
      </c>
      <c r="M50" s="29" t="s">
        <v>1783</v>
      </c>
      <c r="N50" s="167"/>
      <c r="O50" s="219" t="s">
        <v>1744</v>
      </c>
    </row>
    <row r="51" spans="1:24" ht="18" customHeight="1" x14ac:dyDescent="0.35">
      <c r="B51" s="224" t="s">
        <v>1784</v>
      </c>
      <c r="C51" s="225" t="s">
        <v>1785</v>
      </c>
      <c r="D51" s="225">
        <f>C47-D47</f>
        <v>138320.98706280161</v>
      </c>
      <c r="E51" s="225">
        <f>C47-E47</f>
        <v>149042.45338790119</v>
      </c>
      <c r="F51" s="225">
        <f>C47-F47</f>
        <v>1123581.2695939753</v>
      </c>
      <c r="M51" s="29" t="s">
        <v>1786</v>
      </c>
      <c r="N51" s="167"/>
      <c r="O51" s="219" t="s">
        <v>1787</v>
      </c>
    </row>
    <row r="52" spans="1:24" ht="18" customHeight="1" x14ac:dyDescent="0.35">
      <c r="B52" s="23" t="s">
        <v>1788</v>
      </c>
      <c r="C52" s="226">
        <f>RANK(C47,C47:F47,0)</f>
        <v>1</v>
      </c>
      <c r="D52" s="226">
        <f>RANK(D47,C47:F47,0)</f>
        <v>2</v>
      </c>
      <c r="E52" s="226">
        <f>RANK(E47,C47:F47,0)</f>
        <v>3</v>
      </c>
      <c r="F52" s="226">
        <f>RANK(F47,C47:F47,0)</f>
        <v>4</v>
      </c>
      <c r="M52" s="29" t="s">
        <v>1789</v>
      </c>
      <c r="N52" s="167"/>
      <c r="O52" s="219" t="s">
        <v>1744</v>
      </c>
    </row>
    <row r="53" spans="1:24" ht="18" customHeight="1" x14ac:dyDescent="0.35">
      <c r="M53" s="23" t="s">
        <v>1790</v>
      </c>
      <c r="N53" s="214"/>
      <c r="O53" s="215"/>
    </row>
    <row r="54" spans="1:24" ht="18" customHeight="1" x14ac:dyDescent="0.35">
      <c r="M54" s="29" t="s">
        <v>1791</v>
      </c>
      <c r="N54" s="167"/>
      <c r="O54" s="219" t="s">
        <v>1787</v>
      </c>
    </row>
    <row r="55" spans="1:24" ht="18" customHeight="1" x14ac:dyDescent="0.35">
      <c r="M55" s="29" t="s">
        <v>1792</v>
      </c>
      <c r="N55" s="167"/>
      <c r="O55" s="219" t="s">
        <v>1744</v>
      </c>
    </row>
    <row r="56" spans="1:24" ht="18" customHeight="1" x14ac:dyDescent="0.35">
      <c r="M56" s="29" t="s">
        <v>1793</v>
      </c>
      <c r="N56" s="167"/>
      <c r="O56" s="219" t="s">
        <v>1787</v>
      </c>
    </row>
    <row r="57" spans="1:24" ht="18" customHeight="1" x14ac:dyDescent="0.35">
      <c r="M57" s="23" t="s">
        <v>1794</v>
      </c>
      <c r="N57" s="214"/>
      <c r="O57" s="215"/>
    </row>
    <row r="58" spans="1:24" ht="18" customHeight="1" x14ac:dyDescent="0.35">
      <c r="M58" s="29" t="s">
        <v>1795</v>
      </c>
      <c r="N58" s="167"/>
      <c r="O58" s="217" t="s">
        <v>1738</v>
      </c>
    </row>
    <row r="59" spans="1:24" ht="18" customHeight="1" x14ac:dyDescent="0.35">
      <c r="M59" s="29" t="s">
        <v>1796</v>
      </c>
      <c r="N59" s="167"/>
      <c r="O59" s="217" t="s">
        <v>1738</v>
      </c>
    </row>
    <row r="60" spans="1:24" ht="18" customHeight="1" x14ac:dyDescent="0.35">
      <c r="M60" s="29" t="s">
        <v>1797</v>
      </c>
      <c r="N60" s="167"/>
      <c r="O60" s="217" t="s">
        <v>1738</v>
      </c>
    </row>
    <row r="61" spans="1:24" ht="18" customHeight="1" x14ac:dyDescent="0.35">
      <c r="M61" s="29" t="s">
        <v>1798</v>
      </c>
      <c r="N61" s="167"/>
      <c r="O61" s="217" t="s">
        <v>1738</v>
      </c>
    </row>
    <row r="62" spans="1:24" ht="18" customHeight="1" x14ac:dyDescent="0.35">
      <c r="M62" s="29" t="s">
        <v>1799</v>
      </c>
      <c r="N62" s="167"/>
      <c r="O62" s="219" t="s">
        <v>1744</v>
      </c>
    </row>
  </sheetData>
  <mergeCells count="13">
    <mergeCell ref="B43:F43"/>
    <mergeCell ref="A49:X49"/>
    <mergeCell ref="H28:K28"/>
    <mergeCell ref="A31:F31"/>
    <mergeCell ref="M31:O31"/>
    <mergeCell ref="A32:F32"/>
    <mergeCell ref="H37:K37"/>
    <mergeCell ref="A1:X1"/>
    <mergeCell ref="A2:X2"/>
    <mergeCell ref="A4:F4"/>
    <mergeCell ref="H4:K4"/>
    <mergeCell ref="M4:O4"/>
    <mergeCell ref="Q4:S4"/>
  </mergeCells>
  <pageMargins left="0.75" right="0.75" top="1" bottom="1" header="0.511811023622047" footer="0.511811023622047"/>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A8C6B"/>
  </sheetPr>
  <dimension ref="A1:X62"/>
  <sheetViews>
    <sheetView showGridLines="0" zoomScaleNormal="100" workbookViewId="0">
      <pane xSplit="2" ySplit="4" topLeftCell="C43" activePane="bottomRight" state="frozen"/>
      <selection pane="topRight" activeCell="C1" sqref="C1"/>
      <selection pane="bottomLeft" activeCell="A43" sqref="A43"/>
      <selection pane="bottomRight"/>
    </sheetView>
  </sheetViews>
  <sheetFormatPr defaultColWidth="8.6328125" defaultRowHeight="14.5" x14ac:dyDescent="0.35"/>
  <cols>
    <col min="1" max="1" width="2" customWidth="1"/>
    <col min="2" max="2" width="30" customWidth="1"/>
    <col min="3" max="6" width="14" customWidth="1"/>
    <col min="7" max="7" width="2" customWidth="1"/>
    <col min="8" max="8" width="30" customWidth="1"/>
    <col min="9" max="11" width="14" customWidth="1"/>
    <col min="12" max="12" width="13" customWidth="1"/>
    <col min="13" max="13" width="30" customWidth="1"/>
    <col min="14" max="15" width="14" customWidth="1"/>
    <col min="16" max="16" width="2" customWidth="1"/>
    <col min="17" max="17" width="30" customWidth="1"/>
    <col min="18" max="18" width="14" customWidth="1"/>
    <col min="19" max="19" width="2" customWidth="1"/>
    <col min="20" max="20" width="22" customWidth="1"/>
    <col min="21" max="24" width="2" customWidth="1"/>
  </cols>
  <sheetData>
    <row r="1" spans="1:24" ht="43.5" customHeight="1" x14ac:dyDescent="0.35">
      <c r="A1" s="9" t="s">
        <v>1800</v>
      </c>
      <c r="B1" s="9"/>
      <c r="C1" s="9"/>
      <c r="D1" s="9"/>
      <c r="E1" s="9"/>
      <c r="F1" s="9"/>
      <c r="G1" s="9"/>
      <c r="H1" s="9"/>
      <c r="I1" s="9"/>
      <c r="J1" s="9"/>
      <c r="K1" s="9"/>
      <c r="L1" s="9"/>
      <c r="M1" s="9"/>
      <c r="N1" s="9"/>
      <c r="O1" s="9"/>
      <c r="P1" s="9"/>
      <c r="Q1" s="9"/>
      <c r="R1" s="9"/>
      <c r="S1" s="9"/>
      <c r="T1" s="9"/>
      <c r="U1" s="9"/>
      <c r="V1" s="9"/>
      <c r="W1" s="9"/>
      <c r="X1" s="9"/>
    </row>
    <row r="2" spans="1:24" ht="18" customHeight="1" x14ac:dyDescent="0.35">
      <c r="A2" s="8" t="s">
        <v>1801</v>
      </c>
      <c r="B2" s="8"/>
      <c r="C2" s="8"/>
      <c r="D2" s="8"/>
      <c r="E2" s="8"/>
      <c r="F2" s="8"/>
      <c r="G2" s="8"/>
      <c r="H2" s="8"/>
      <c r="I2" s="8"/>
      <c r="J2" s="8"/>
      <c r="K2" s="8"/>
      <c r="L2" s="8"/>
      <c r="M2" s="8"/>
      <c r="N2" s="8"/>
      <c r="O2" s="8"/>
      <c r="P2" s="8"/>
      <c r="Q2" s="8"/>
      <c r="R2" s="8"/>
      <c r="S2" s="8"/>
      <c r="T2" s="8"/>
      <c r="U2" s="8"/>
      <c r="V2" s="8"/>
      <c r="W2" s="8"/>
      <c r="X2" s="8"/>
    </row>
    <row r="3" spans="1:24" ht="7.5" customHeight="1" x14ac:dyDescent="0.35">
      <c r="A3" s="19"/>
      <c r="B3" s="19"/>
      <c r="C3" s="19"/>
      <c r="D3" s="19"/>
      <c r="E3" s="19"/>
      <c r="F3" s="19"/>
      <c r="G3" s="19"/>
      <c r="H3" s="19"/>
      <c r="I3" s="19"/>
      <c r="J3" s="19"/>
      <c r="K3" s="19"/>
      <c r="L3" s="19"/>
      <c r="M3" s="19"/>
      <c r="N3" s="19"/>
      <c r="O3" s="19"/>
      <c r="P3" s="19"/>
      <c r="Q3" s="19"/>
      <c r="R3" s="19"/>
      <c r="S3" s="19"/>
      <c r="T3" s="19"/>
      <c r="U3" s="19"/>
      <c r="V3" s="19"/>
      <c r="W3" s="19"/>
      <c r="X3" s="19"/>
    </row>
    <row r="4" spans="1:24" ht="19.5" customHeight="1" x14ac:dyDescent="0.35">
      <c r="A4" s="331" t="s">
        <v>1802</v>
      </c>
      <c r="B4" s="331"/>
      <c r="C4" s="331"/>
      <c r="D4" s="331"/>
      <c r="E4" s="331"/>
      <c r="F4" s="331"/>
      <c r="H4" s="331" t="s">
        <v>1803</v>
      </c>
      <c r="I4" s="331"/>
      <c r="J4" s="331"/>
      <c r="K4" s="331"/>
      <c r="M4" s="331" t="s">
        <v>1804</v>
      </c>
      <c r="N4" s="331"/>
      <c r="O4" s="331"/>
      <c r="Q4" s="332" t="s">
        <v>1805</v>
      </c>
      <c r="R4" s="332"/>
      <c r="S4" s="332"/>
      <c r="T4" s="7" t="s">
        <v>1806</v>
      </c>
      <c r="U4" s="7"/>
      <c r="V4" s="7"/>
      <c r="W4" s="7"/>
      <c r="X4" s="7"/>
    </row>
    <row r="5" spans="1:24" ht="43.5" customHeight="1" x14ac:dyDescent="0.35">
      <c r="B5" s="227" t="s">
        <v>1807</v>
      </c>
      <c r="C5" s="15" t="s">
        <v>1808</v>
      </c>
      <c r="D5" s="15" t="s">
        <v>1809</v>
      </c>
      <c r="E5" s="15" t="s">
        <v>1810</v>
      </c>
      <c r="F5" s="15" t="s">
        <v>1811</v>
      </c>
      <c r="H5" s="227" t="s">
        <v>1812</v>
      </c>
      <c r="I5" s="15" t="s">
        <v>1813</v>
      </c>
      <c r="J5" s="15" t="s">
        <v>1814</v>
      </c>
      <c r="K5" s="15" t="s">
        <v>1815</v>
      </c>
      <c r="M5" s="227" t="s">
        <v>1816</v>
      </c>
      <c r="N5" s="227" t="s">
        <v>1817</v>
      </c>
      <c r="O5" s="227" t="s">
        <v>1818</v>
      </c>
      <c r="Q5" s="228" t="s">
        <v>1819</v>
      </c>
      <c r="R5" s="228" t="s">
        <v>1820</v>
      </c>
      <c r="S5" s="228" t="s">
        <v>1821</v>
      </c>
    </row>
    <row r="6" spans="1:24" ht="15" customHeight="1" x14ac:dyDescent="0.35">
      <c r="B6" s="229" t="s">
        <v>1822</v>
      </c>
      <c r="C6" s="179"/>
      <c r="D6" s="71"/>
      <c r="E6" s="179"/>
      <c r="F6" s="71"/>
      <c r="H6" s="229" t="s">
        <v>1823</v>
      </c>
      <c r="I6" s="230"/>
      <c r="J6" s="230"/>
      <c r="K6" s="141"/>
      <c r="M6" s="229" t="s">
        <v>1824</v>
      </c>
      <c r="N6" s="122"/>
      <c r="O6" s="179"/>
      <c r="Q6" s="231" t="s">
        <v>1825</v>
      </c>
      <c r="R6" s="71"/>
      <c r="S6" s="179"/>
      <c r="T6" s="333" t="s">
        <v>1826</v>
      </c>
      <c r="U6" s="333"/>
      <c r="V6" s="333"/>
      <c r="W6" s="333"/>
      <c r="X6" s="333"/>
    </row>
    <row r="7" spans="1:24" ht="15" customHeight="1" x14ac:dyDescent="0.35">
      <c r="B7" s="29" t="s">
        <v>1827</v>
      </c>
      <c r="C7" s="184" t="s">
        <v>1828</v>
      </c>
      <c r="D7" s="72" t="s">
        <v>1829</v>
      </c>
      <c r="E7" s="184" t="s">
        <v>1830</v>
      </c>
      <c r="F7" s="73" t="s">
        <v>1831</v>
      </c>
      <c r="H7" s="69" t="s">
        <v>1832</v>
      </c>
      <c r="I7" s="232" t="s">
        <v>1833</v>
      </c>
      <c r="J7" s="232" t="s">
        <v>1834</v>
      </c>
      <c r="K7" s="74" t="s">
        <v>1835</v>
      </c>
      <c r="M7" s="233" t="s">
        <v>1836</v>
      </c>
      <c r="N7" s="234">
        <v>3175967</v>
      </c>
      <c r="O7" s="74" t="s">
        <v>1837</v>
      </c>
      <c r="Q7" s="29" t="s">
        <v>1838</v>
      </c>
      <c r="R7" s="72" t="s">
        <v>1839</v>
      </c>
      <c r="S7" s="184" t="s">
        <v>1840</v>
      </c>
      <c r="T7" s="328" t="s">
        <v>1841</v>
      </c>
      <c r="U7" s="328"/>
      <c r="V7" s="328"/>
      <c r="W7" s="328"/>
      <c r="X7" s="328"/>
    </row>
    <row r="8" spans="1:24" ht="15" customHeight="1" x14ac:dyDescent="0.35">
      <c r="B8" s="29" t="s">
        <v>1842</v>
      </c>
      <c r="C8" s="184" t="s">
        <v>1843</v>
      </c>
      <c r="D8" s="72" t="s">
        <v>1844</v>
      </c>
      <c r="E8" s="184" t="s">
        <v>1845</v>
      </c>
      <c r="F8" s="73" t="s">
        <v>1846</v>
      </c>
      <c r="H8" s="69" t="s">
        <v>1847</v>
      </c>
      <c r="I8" s="232" t="s">
        <v>1848</v>
      </c>
      <c r="J8" s="232" t="s">
        <v>1849</v>
      </c>
      <c r="K8" s="74" t="s">
        <v>1850</v>
      </c>
      <c r="M8" s="233" t="s">
        <v>1851</v>
      </c>
      <c r="N8" s="234">
        <v>2991784</v>
      </c>
      <c r="O8" s="74" t="s">
        <v>1852</v>
      </c>
      <c r="Q8" s="29" t="s">
        <v>1853</v>
      </c>
      <c r="R8" s="72" t="s">
        <v>1854</v>
      </c>
      <c r="S8" s="184" t="s">
        <v>1855</v>
      </c>
      <c r="T8" s="328" t="s">
        <v>1856</v>
      </c>
      <c r="U8" s="328"/>
      <c r="V8" s="328"/>
      <c r="W8" s="328"/>
      <c r="X8" s="328"/>
    </row>
    <row r="9" spans="1:24" ht="15" customHeight="1" x14ac:dyDescent="0.35">
      <c r="B9" s="29" t="s">
        <v>1857</v>
      </c>
      <c r="C9" s="184" t="s">
        <v>1858</v>
      </c>
      <c r="D9" s="72" t="s">
        <v>1859</v>
      </c>
      <c r="E9" s="184" t="s">
        <v>1860</v>
      </c>
      <c r="F9" s="73" t="s">
        <v>1861</v>
      </c>
      <c r="H9" s="29" t="s">
        <v>1862</v>
      </c>
      <c r="I9" s="130" t="s">
        <v>1863</v>
      </c>
      <c r="J9" s="130" t="s">
        <v>1864</v>
      </c>
      <c r="K9" s="148" t="s">
        <v>1865</v>
      </c>
      <c r="M9" s="29" t="s">
        <v>1866</v>
      </c>
      <c r="N9" s="235">
        <v>2818676</v>
      </c>
      <c r="O9" s="148" t="s">
        <v>1867</v>
      </c>
      <c r="Q9" s="60" t="s">
        <v>1868</v>
      </c>
      <c r="R9" s="73" t="s">
        <v>1869</v>
      </c>
      <c r="S9" s="170" t="s">
        <v>1870</v>
      </c>
      <c r="T9" s="328" t="s">
        <v>1871</v>
      </c>
      <c r="U9" s="328"/>
      <c r="V9" s="328"/>
      <c r="W9" s="328"/>
      <c r="X9" s="328"/>
    </row>
    <row r="10" spans="1:24" ht="15" customHeight="1" x14ac:dyDescent="0.35">
      <c r="B10" s="29" t="s">
        <v>1872</v>
      </c>
      <c r="C10" s="184" t="s">
        <v>1873</v>
      </c>
      <c r="D10" s="72" t="s">
        <v>1874</v>
      </c>
      <c r="E10" s="184" t="s">
        <v>1875</v>
      </c>
      <c r="F10" s="73" t="s">
        <v>1876</v>
      </c>
      <c r="H10" s="229" t="s">
        <v>1877</v>
      </c>
      <c r="I10" s="230"/>
      <c r="J10" s="230"/>
      <c r="K10" s="141"/>
      <c r="M10" s="29" t="s">
        <v>1878</v>
      </c>
      <c r="N10" s="235">
        <v>2655980</v>
      </c>
      <c r="O10" s="148" t="s">
        <v>1879</v>
      </c>
      <c r="Q10" s="231" t="s">
        <v>1880</v>
      </c>
      <c r="R10" s="71"/>
      <c r="S10" s="179"/>
      <c r="T10" s="328" t="s">
        <v>1881</v>
      </c>
      <c r="U10" s="328"/>
      <c r="V10" s="328"/>
      <c r="W10" s="328"/>
      <c r="X10" s="328"/>
    </row>
    <row r="11" spans="1:24" ht="15" customHeight="1" x14ac:dyDescent="0.35">
      <c r="B11" s="183" t="s">
        <v>1882</v>
      </c>
      <c r="C11" s="179" t="s">
        <v>1883</v>
      </c>
      <c r="D11" s="71" t="s">
        <v>1884</v>
      </c>
      <c r="E11" s="179" t="s">
        <v>1885</v>
      </c>
      <c r="F11" s="71" t="s">
        <v>1886</v>
      </c>
      <c r="H11" s="29" t="s">
        <v>1887</v>
      </c>
      <c r="I11" s="130" t="s">
        <v>1888</v>
      </c>
      <c r="J11" s="130" t="s">
        <v>1889</v>
      </c>
      <c r="K11" s="148" t="s">
        <v>1890</v>
      </c>
      <c r="M11" s="69" t="s">
        <v>1891</v>
      </c>
      <c r="N11" s="236">
        <v>2503075</v>
      </c>
      <c r="O11" s="74" t="s">
        <v>1892</v>
      </c>
      <c r="Q11" s="60" t="s">
        <v>1893</v>
      </c>
      <c r="R11" s="73" t="s">
        <v>1894</v>
      </c>
      <c r="S11" s="170" t="s">
        <v>1895</v>
      </c>
      <c r="T11" s="328"/>
      <c r="U11" s="328"/>
      <c r="V11" s="328"/>
      <c r="W11" s="328"/>
      <c r="X11" s="328"/>
    </row>
    <row r="12" spans="1:24" ht="15" customHeight="1" x14ac:dyDescent="0.35">
      <c r="B12" s="229" t="s">
        <v>1896</v>
      </c>
      <c r="C12" s="179"/>
      <c r="D12" s="71"/>
      <c r="E12" s="179"/>
      <c r="F12" s="71"/>
      <c r="H12" s="69" t="s">
        <v>1897</v>
      </c>
      <c r="I12" s="127" t="s">
        <v>1898</v>
      </c>
      <c r="J12" s="127" t="s">
        <v>1899</v>
      </c>
      <c r="K12" s="74" t="s">
        <v>1900</v>
      </c>
      <c r="M12" s="60" t="s">
        <v>1901</v>
      </c>
      <c r="N12" s="237">
        <v>2359372</v>
      </c>
      <c r="O12" s="74" t="s">
        <v>1902</v>
      </c>
      <c r="Q12" s="29" t="s">
        <v>1903</v>
      </c>
      <c r="R12" s="72" t="s">
        <v>1904</v>
      </c>
      <c r="S12" s="184" t="s">
        <v>1905</v>
      </c>
      <c r="T12" s="333" t="s">
        <v>1906</v>
      </c>
      <c r="U12" s="333"/>
      <c r="V12" s="333"/>
      <c r="W12" s="333"/>
      <c r="X12" s="333"/>
    </row>
    <row r="13" spans="1:24" ht="15" customHeight="1" x14ac:dyDescent="0.35">
      <c r="B13" s="29" t="s">
        <v>1907</v>
      </c>
      <c r="C13" s="184" t="s">
        <v>1908</v>
      </c>
      <c r="D13" s="72" t="s">
        <v>1909</v>
      </c>
      <c r="E13" s="184" t="s">
        <v>1910</v>
      </c>
      <c r="F13" s="73" t="s">
        <v>1911</v>
      </c>
      <c r="H13" s="238" t="s">
        <v>1912</v>
      </c>
      <c r="I13" s="239"/>
      <c r="J13" s="239"/>
      <c r="K13" s="74"/>
      <c r="M13" s="60" t="s">
        <v>1913</v>
      </c>
      <c r="N13" s="237">
        <v>2097396</v>
      </c>
      <c r="O13" s="74" t="s">
        <v>1914</v>
      </c>
      <c r="Q13" s="29" t="s">
        <v>1915</v>
      </c>
      <c r="R13" s="72" t="s">
        <v>1916</v>
      </c>
      <c r="S13" s="184" t="s">
        <v>1917</v>
      </c>
      <c r="T13" s="328" t="s">
        <v>1918</v>
      </c>
      <c r="U13" s="328"/>
      <c r="V13" s="328"/>
      <c r="W13" s="328"/>
      <c r="X13" s="328"/>
    </row>
    <row r="14" spans="1:24" ht="15" customHeight="1" x14ac:dyDescent="0.35">
      <c r="B14" s="60" t="s">
        <v>1919</v>
      </c>
      <c r="C14" s="204" t="s">
        <v>1920</v>
      </c>
      <c r="D14" s="73" t="s">
        <v>1921</v>
      </c>
      <c r="E14" s="204" t="s">
        <v>1922</v>
      </c>
      <c r="F14" s="170" t="s">
        <v>1923</v>
      </c>
      <c r="H14" s="60" t="s">
        <v>1924</v>
      </c>
      <c r="I14" s="239" t="s">
        <v>1925</v>
      </c>
      <c r="J14" s="239" t="s">
        <v>1926</v>
      </c>
      <c r="K14" s="74" t="s">
        <v>1927</v>
      </c>
      <c r="M14" s="229" t="s">
        <v>1928</v>
      </c>
      <c r="N14" s="122"/>
      <c r="O14" s="179"/>
      <c r="Q14" s="231" t="s">
        <v>1929</v>
      </c>
      <c r="R14" s="71"/>
      <c r="S14" s="179"/>
      <c r="T14" s="328" t="s">
        <v>1930</v>
      </c>
      <c r="U14" s="328"/>
      <c r="V14" s="328"/>
      <c r="W14" s="328"/>
      <c r="X14" s="328"/>
    </row>
    <row r="15" spans="1:24" ht="15" customHeight="1" x14ac:dyDescent="0.35">
      <c r="B15" s="29" t="s">
        <v>1931</v>
      </c>
      <c r="C15" s="184" t="s">
        <v>1932</v>
      </c>
      <c r="D15" s="72" t="s">
        <v>1933</v>
      </c>
      <c r="E15" s="184" t="s">
        <v>1934</v>
      </c>
      <c r="F15" s="73" t="s">
        <v>1935</v>
      </c>
      <c r="H15" s="60" t="s">
        <v>1936</v>
      </c>
      <c r="I15" s="239" t="s">
        <v>1937</v>
      </c>
      <c r="J15" s="239" t="s">
        <v>1938</v>
      </c>
      <c r="K15" s="74" t="s">
        <v>1939</v>
      </c>
      <c r="M15" s="60" t="s">
        <v>1940</v>
      </c>
      <c r="N15" s="237">
        <v>335804</v>
      </c>
      <c r="O15" s="74" t="s">
        <v>1941</v>
      </c>
      <c r="Q15" s="29" t="s">
        <v>1942</v>
      </c>
      <c r="R15" s="72" t="s">
        <v>1943</v>
      </c>
      <c r="S15" s="184" t="s">
        <v>1944</v>
      </c>
      <c r="T15" s="328" t="s">
        <v>1945</v>
      </c>
      <c r="U15" s="328"/>
      <c r="V15" s="328"/>
      <c r="W15" s="328"/>
      <c r="X15" s="328"/>
    </row>
    <row r="16" spans="1:24" ht="15" customHeight="1" x14ac:dyDescent="0.35">
      <c r="B16" s="60" t="s">
        <v>1946</v>
      </c>
      <c r="C16" s="204" t="s">
        <v>1947</v>
      </c>
      <c r="D16" s="73" t="s">
        <v>1948</v>
      </c>
      <c r="E16" s="204" t="s">
        <v>1949</v>
      </c>
      <c r="F16" s="170" t="s">
        <v>1950</v>
      </c>
      <c r="H16" s="229" t="s">
        <v>1951</v>
      </c>
      <c r="I16" s="230"/>
      <c r="J16" s="230"/>
      <c r="K16" s="141"/>
      <c r="M16" s="60" t="s">
        <v>1952</v>
      </c>
      <c r="N16" s="237">
        <v>632412</v>
      </c>
      <c r="O16" s="74" t="s">
        <v>1953</v>
      </c>
      <c r="Q16" s="60" t="s">
        <v>1954</v>
      </c>
      <c r="R16" s="73" t="s">
        <v>1955</v>
      </c>
      <c r="S16" s="170" t="s">
        <v>1956</v>
      </c>
      <c r="T16" s="328"/>
      <c r="U16" s="328"/>
      <c r="V16" s="328"/>
      <c r="W16" s="328"/>
      <c r="X16" s="328"/>
    </row>
    <row r="17" spans="1:24" ht="15" customHeight="1" x14ac:dyDescent="0.35">
      <c r="B17" s="229" t="s">
        <v>1957</v>
      </c>
      <c r="C17" s="179"/>
      <c r="D17" s="71"/>
      <c r="E17" s="179"/>
      <c r="F17" s="71"/>
      <c r="H17" s="29" t="s">
        <v>1958</v>
      </c>
      <c r="I17" s="130"/>
      <c r="J17" s="130"/>
      <c r="K17" s="148" t="s">
        <v>1959</v>
      </c>
      <c r="M17" s="60" t="s">
        <v>1960</v>
      </c>
      <c r="N17" s="237">
        <v>894388</v>
      </c>
      <c r="O17" s="74" t="s">
        <v>1961</v>
      </c>
      <c r="Q17" s="231" t="s">
        <v>291</v>
      </c>
      <c r="R17" s="71"/>
      <c r="S17" s="179"/>
      <c r="T17" s="333" t="s">
        <v>1962</v>
      </c>
      <c r="U17" s="333"/>
      <c r="V17" s="333"/>
      <c r="W17" s="333"/>
      <c r="X17" s="333"/>
    </row>
    <row r="18" spans="1:24" ht="15" customHeight="1" x14ac:dyDescent="0.35">
      <c r="B18" s="29" t="s">
        <v>1963</v>
      </c>
      <c r="C18" s="184" t="s">
        <v>1964</v>
      </c>
      <c r="D18" s="72" t="s">
        <v>1965</v>
      </c>
      <c r="E18" s="184" t="s">
        <v>1966</v>
      </c>
      <c r="F18" s="73" t="s">
        <v>1967</v>
      </c>
      <c r="H18" s="29" t="s">
        <v>1968</v>
      </c>
      <c r="I18" s="130"/>
      <c r="J18" s="130"/>
      <c r="K18" s="148" t="s">
        <v>1969</v>
      </c>
      <c r="M18" s="229" t="s">
        <v>1970</v>
      </c>
      <c r="N18" s="122"/>
      <c r="O18" s="179"/>
      <c r="Q18" s="29" t="s">
        <v>1971</v>
      </c>
      <c r="R18" s="72" t="s">
        <v>1972</v>
      </c>
      <c r="S18" s="184" t="s">
        <v>1973</v>
      </c>
      <c r="T18" s="328" t="s">
        <v>1974</v>
      </c>
      <c r="U18" s="328"/>
      <c r="V18" s="328"/>
      <c r="W18" s="328"/>
      <c r="X18" s="328"/>
    </row>
    <row r="19" spans="1:24" ht="15" customHeight="1" x14ac:dyDescent="0.35">
      <c r="B19" s="29" t="s">
        <v>1975</v>
      </c>
      <c r="C19" s="184" t="s">
        <v>1976</v>
      </c>
      <c r="D19" s="72" t="s">
        <v>1977</v>
      </c>
      <c r="E19" s="184" t="s">
        <v>1978</v>
      </c>
      <c r="F19" s="73" t="s">
        <v>1979</v>
      </c>
      <c r="H19" s="29" t="s">
        <v>1980</v>
      </c>
      <c r="I19" s="130"/>
      <c r="J19" s="130"/>
      <c r="K19" s="148" t="s">
        <v>1981</v>
      </c>
      <c r="M19" s="60" t="s">
        <v>1982</v>
      </c>
      <c r="N19" s="240">
        <v>5.4</v>
      </c>
      <c r="O19" s="74" t="s">
        <v>1983</v>
      </c>
      <c r="Q19" s="60" t="s">
        <v>1984</v>
      </c>
      <c r="R19" s="73" t="s">
        <v>1985</v>
      </c>
      <c r="S19" s="170" t="s">
        <v>1986</v>
      </c>
      <c r="T19" s="328" t="s">
        <v>1987</v>
      </c>
      <c r="U19" s="328"/>
      <c r="V19" s="328"/>
      <c r="W19" s="328"/>
      <c r="X19" s="328"/>
    </row>
    <row r="20" spans="1:24" ht="15" customHeight="1" x14ac:dyDescent="0.35">
      <c r="H20" s="229" t="s">
        <v>1988</v>
      </c>
      <c r="I20" s="230"/>
      <c r="J20" s="230"/>
      <c r="K20" s="141"/>
      <c r="M20" s="60" t="s">
        <v>1989</v>
      </c>
      <c r="N20" s="241">
        <v>5361</v>
      </c>
      <c r="O20" s="74" t="s">
        <v>1990</v>
      </c>
      <c r="Q20" s="29" t="s">
        <v>1991</v>
      </c>
      <c r="R20" s="72" t="s">
        <v>1992</v>
      </c>
      <c r="S20" s="184" t="s">
        <v>1993</v>
      </c>
      <c r="T20" s="328" t="s">
        <v>1994</v>
      </c>
      <c r="U20" s="328"/>
      <c r="V20" s="328"/>
      <c r="W20" s="328"/>
      <c r="X20" s="328"/>
    </row>
    <row r="21" spans="1:24" ht="15" customHeight="1" x14ac:dyDescent="0.35">
      <c r="A21" s="19"/>
      <c r="B21" s="19"/>
      <c r="C21" s="19"/>
      <c r="D21" s="19"/>
      <c r="E21" s="19"/>
      <c r="F21" s="19"/>
      <c r="G21" s="19"/>
      <c r="H21" s="45" t="s">
        <v>1995</v>
      </c>
      <c r="I21" s="124" t="s">
        <v>1996</v>
      </c>
      <c r="J21" s="124" t="s">
        <v>1996</v>
      </c>
      <c r="K21" s="143" t="s">
        <v>1997</v>
      </c>
      <c r="L21" s="19"/>
      <c r="M21" s="19"/>
      <c r="N21" s="19"/>
      <c r="O21" s="19"/>
      <c r="P21" s="19"/>
      <c r="Q21" s="19"/>
      <c r="R21" s="19"/>
      <c r="S21" s="19"/>
      <c r="T21" s="328"/>
      <c r="U21" s="328"/>
      <c r="V21" s="328"/>
      <c r="W21" s="328"/>
      <c r="X21" s="328"/>
    </row>
    <row r="22" spans="1:24" ht="15" customHeight="1" x14ac:dyDescent="0.35">
      <c r="A22" s="331" t="s">
        <v>1998</v>
      </c>
      <c r="B22" s="331"/>
      <c r="C22" s="331"/>
      <c r="D22" s="331"/>
      <c r="E22" s="331"/>
      <c r="F22" s="331"/>
      <c r="H22" s="60" t="s">
        <v>1999</v>
      </c>
      <c r="I22" s="239" t="s">
        <v>2000</v>
      </c>
      <c r="J22" s="239" t="s">
        <v>2000</v>
      </c>
      <c r="K22" s="74" t="s">
        <v>2001</v>
      </c>
      <c r="T22" s="333" t="s">
        <v>2002</v>
      </c>
      <c r="U22" s="333"/>
      <c r="V22" s="333"/>
      <c r="W22" s="333"/>
      <c r="X22" s="333"/>
    </row>
    <row r="23" spans="1:24" ht="15" customHeight="1" x14ac:dyDescent="0.35">
      <c r="B23" s="227" t="s">
        <v>2003</v>
      </c>
      <c r="C23" s="15" t="s">
        <v>2004</v>
      </c>
      <c r="D23" s="242" t="s">
        <v>2005</v>
      </c>
      <c r="E23" s="227" t="s">
        <v>2006</v>
      </c>
      <c r="F23" s="15" t="s">
        <v>2007</v>
      </c>
      <c r="H23" s="60" t="s">
        <v>2008</v>
      </c>
      <c r="I23" s="239" t="s">
        <v>2009</v>
      </c>
      <c r="J23" s="239" t="s">
        <v>2010</v>
      </c>
      <c r="K23" s="74" t="s">
        <v>2011</v>
      </c>
      <c r="T23" s="328" t="s">
        <v>2012</v>
      </c>
      <c r="U23" s="328"/>
      <c r="V23" s="328"/>
      <c r="W23" s="328"/>
      <c r="X23" s="328"/>
    </row>
    <row r="24" spans="1:24" ht="15" customHeight="1" x14ac:dyDescent="0.35">
      <c r="B24" s="25" t="s">
        <v>48</v>
      </c>
      <c r="C24" s="26">
        <v>200000</v>
      </c>
      <c r="D24" s="26">
        <v>200000</v>
      </c>
      <c r="E24" s="26">
        <v>200000</v>
      </c>
      <c r="F24" s="26">
        <v>200000</v>
      </c>
      <c r="T24" s="328" t="s">
        <v>2013</v>
      </c>
      <c r="U24" s="328"/>
      <c r="V24" s="328"/>
      <c r="W24" s="328"/>
      <c r="X24" s="328"/>
    </row>
    <row r="25" spans="1:24" ht="15" customHeight="1" x14ac:dyDescent="0.35">
      <c r="B25" s="25" t="s">
        <v>57</v>
      </c>
      <c r="C25" s="26">
        <v>12000</v>
      </c>
      <c r="D25" s="26">
        <v>12000</v>
      </c>
      <c r="E25" s="26">
        <v>12000</v>
      </c>
      <c r="F25" s="26">
        <v>12000</v>
      </c>
      <c r="T25" s="328" t="s">
        <v>2014</v>
      </c>
      <c r="U25" s="328"/>
      <c r="V25" s="328"/>
      <c r="W25" s="328"/>
      <c r="X25" s="328"/>
    </row>
    <row r="26" spans="1:24" ht="15" customHeight="1" x14ac:dyDescent="0.35">
      <c r="A26" s="19"/>
      <c r="B26" s="40" t="s">
        <v>2015</v>
      </c>
      <c r="C26" s="43">
        <v>0.08</v>
      </c>
      <c r="D26" s="43">
        <v>0.08</v>
      </c>
      <c r="E26" s="43">
        <v>0.08</v>
      </c>
      <c r="F26" s="43">
        <v>0.08</v>
      </c>
      <c r="G26" s="19"/>
      <c r="H26" s="19"/>
      <c r="I26" s="19"/>
      <c r="J26" s="19"/>
      <c r="K26" s="19"/>
      <c r="L26" s="19"/>
      <c r="M26" s="19"/>
      <c r="N26" s="19"/>
      <c r="O26" s="19"/>
      <c r="P26" s="19"/>
      <c r="Q26" s="19"/>
      <c r="R26" s="19"/>
      <c r="S26" s="19"/>
      <c r="T26" s="328"/>
      <c r="U26" s="328"/>
      <c r="V26" s="328"/>
      <c r="W26" s="328"/>
      <c r="X26" s="328"/>
    </row>
    <row r="27" spans="1:24" ht="15" customHeight="1" x14ac:dyDescent="0.35">
      <c r="B27" s="25" t="s">
        <v>2016</v>
      </c>
      <c r="C27" s="26">
        <v>78</v>
      </c>
      <c r="D27" s="26">
        <v>180</v>
      </c>
      <c r="E27" s="26">
        <v>420</v>
      </c>
      <c r="F27" s="26">
        <v>180</v>
      </c>
      <c r="H27" s="331" t="s">
        <v>2017</v>
      </c>
      <c r="I27" s="331"/>
      <c r="J27" s="331"/>
      <c r="K27" s="331"/>
      <c r="T27" s="333" t="s">
        <v>2018</v>
      </c>
      <c r="U27" s="333"/>
      <c r="V27" s="333"/>
      <c r="W27" s="333"/>
      <c r="X27" s="333"/>
    </row>
    <row r="28" spans="1:24" ht="15" customHeight="1" x14ac:dyDescent="0.35">
      <c r="B28" s="25" t="s">
        <v>2019</v>
      </c>
      <c r="C28" s="34">
        <v>4.0000000000000001E-3</v>
      </c>
      <c r="D28" s="34">
        <v>8.0000000000000002E-3</v>
      </c>
      <c r="E28" s="34">
        <v>1.4999999999999999E-2</v>
      </c>
      <c r="F28" s="34">
        <v>8.0000000000000002E-3</v>
      </c>
      <c r="H28" s="227" t="s">
        <v>498</v>
      </c>
      <c r="I28" s="15" t="s">
        <v>2020</v>
      </c>
      <c r="J28" s="242" t="s">
        <v>2021</v>
      </c>
      <c r="K28" s="227" t="s">
        <v>2022</v>
      </c>
      <c r="L28" s="227" t="s">
        <v>2023</v>
      </c>
      <c r="T28" s="328" t="s">
        <v>2024</v>
      </c>
      <c r="U28" s="328"/>
      <c r="V28" s="328"/>
      <c r="W28" s="328"/>
      <c r="X28" s="328"/>
    </row>
    <row r="29" spans="1:24" ht="15" customHeight="1" x14ac:dyDescent="0.35">
      <c r="B29" s="25" t="s">
        <v>102</v>
      </c>
      <c r="C29" s="102">
        <v>30</v>
      </c>
      <c r="D29" s="102">
        <v>30</v>
      </c>
      <c r="E29" s="102">
        <v>30</v>
      </c>
      <c r="F29" s="102">
        <v>30</v>
      </c>
      <c r="H29" s="67">
        <v>0</v>
      </c>
      <c r="I29" s="243">
        <v>200000</v>
      </c>
      <c r="J29" s="243">
        <v>200000</v>
      </c>
      <c r="K29" s="243">
        <v>200000</v>
      </c>
      <c r="L29" s="243">
        <v>200000</v>
      </c>
      <c r="T29" s="328" t="s">
        <v>2025</v>
      </c>
      <c r="U29" s="328"/>
      <c r="V29" s="328"/>
      <c r="W29" s="328"/>
      <c r="X29" s="328"/>
    </row>
    <row r="30" spans="1:24" ht="15" customHeight="1" x14ac:dyDescent="0.35">
      <c r="A30" s="19"/>
      <c r="B30" s="19"/>
      <c r="C30" s="19"/>
      <c r="D30" s="19"/>
      <c r="E30" s="19"/>
      <c r="F30" s="19"/>
      <c r="G30" s="19"/>
      <c r="H30" s="44">
        <v>1</v>
      </c>
      <c r="I30" s="65">
        <v>227000</v>
      </c>
      <c r="J30" s="65">
        <v>226000</v>
      </c>
      <c r="K30" s="65">
        <v>225000</v>
      </c>
      <c r="L30" s="65">
        <v>224000</v>
      </c>
      <c r="M30" s="19"/>
      <c r="N30" s="19"/>
      <c r="O30" s="19"/>
      <c r="P30" s="19"/>
      <c r="Q30" s="19"/>
      <c r="R30" s="19"/>
      <c r="S30" s="19"/>
      <c r="T30" s="328" t="s">
        <v>2026</v>
      </c>
      <c r="U30" s="328"/>
      <c r="V30" s="328"/>
      <c r="W30" s="328"/>
      <c r="X30" s="328"/>
    </row>
    <row r="31" spans="1:24" ht="15" customHeight="1" x14ac:dyDescent="0.35">
      <c r="B31" s="5" t="s">
        <v>711</v>
      </c>
      <c r="C31" s="5"/>
      <c r="D31" s="5"/>
      <c r="E31" s="5"/>
      <c r="F31" s="5"/>
      <c r="H31" s="67">
        <v>2</v>
      </c>
      <c r="I31" s="243">
        <v>256025</v>
      </c>
      <c r="J31" s="243">
        <v>253820</v>
      </c>
      <c r="K31" s="243">
        <v>251625</v>
      </c>
      <c r="L31" s="243">
        <v>249440</v>
      </c>
      <c r="T31" s="328" t="s">
        <v>2027</v>
      </c>
      <c r="U31" s="328"/>
      <c r="V31" s="328"/>
      <c r="W31" s="328"/>
      <c r="X31" s="328"/>
    </row>
    <row r="32" spans="1:24" ht="13.5" customHeight="1" x14ac:dyDescent="0.35">
      <c r="B32" s="29" t="s">
        <v>2028</v>
      </c>
      <c r="C32" s="49">
        <f>C26-C28</f>
        <v>7.5999999999999998E-2</v>
      </c>
      <c r="D32" s="49">
        <f>D26-D28</f>
        <v>7.2000000000000008E-2</v>
      </c>
      <c r="E32" s="49">
        <f>E26-E28</f>
        <v>6.5000000000000002E-2</v>
      </c>
      <c r="F32" s="49">
        <f>F26-F28</f>
        <v>7.2000000000000008E-2</v>
      </c>
      <c r="H32" s="67">
        <v>3</v>
      </c>
      <c r="I32" s="65">
        <v>287227</v>
      </c>
      <c r="J32" s="65">
        <v>283587</v>
      </c>
      <c r="K32" s="65">
        <v>279981</v>
      </c>
      <c r="L32" s="65">
        <v>276406</v>
      </c>
    </row>
    <row r="33" spans="1:24" ht="13.5" customHeight="1" x14ac:dyDescent="0.35">
      <c r="B33" s="29" t="s">
        <v>2029</v>
      </c>
      <c r="C33" s="244">
        <f>(C27/C24)+C28</f>
        <v>4.3899999999999998E-3</v>
      </c>
      <c r="D33" s="244">
        <f>(D27/D24)+D28</f>
        <v>8.8999999999999999E-3</v>
      </c>
      <c r="E33" s="244">
        <f>(E27/E24)+E28</f>
        <v>1.7100000000000001E-2</v>
      </c>
      <c r="F33" s="244">
        <f>(F27/F24)+F28</f>
        <v>8.8999999999999999E-3</v>
      </c>
      <c r="H33" s="67">
        <v>4</v>
      </c>
      <c r="I33" s="243">
        <v>320769</v>
      </c>
      <c r="J33" s="243">
        <v>315439</v>
      </c>
      <c r="K33" s="243">
        <v>310179</v>
      </c>
      <c r="L33" s="243">
        <v>304991</v>
      </c>
    </row>
    <row r="34" spans="1:24" ht="13.5" customHeight="1" x14ac:dyDescent="0.35">
      <c r="B34" s="187" t="s">
        <v>2030</v>
      </c>
      <c r="C34" s="186">
        <f>C24*(1+C26-C28)^C29+C25*((1+C26-C28)^C29-1)/(C26-C28)</f>
        <v>3064089.7990404582</v>
      </c>
      <c r="D34" s="186">
        <f>D24*(1+D26-D28)^D29+D25*((1+D26-D28)^D29-1)/(D26-D28)</f>
        <v>2785324.0754516469</v>
      </c>
      <c r="E34" s="186">
        <f>E24*(1+E26-E28)^E29+E25*((1+E26-E28)^E29-1)/(E26-E28)</f>
        <v>2359371.6011695652</v>
      </c>
      <c r="F34" s="186">
        <f>F24*(1+F26-F28)^F29+F25*((1+F26-F28)^F29-1)/(F26-F28)</f>
        <v>2785324.0754516469</v>
      </c>
      <c r="H34" s="67">
        <v>5</v>
      </c>
      <c r="I34" s="65">
        <v>356827</v>
      </c>
      <c r="J34" s="65">
        <v>349519</v>
      </c>
      <c r="K34" s="65">
        <v>342341</v>
      </c>
      <c r="L34" s="65">
        <v>335290</v>
      </c>
    </row>
    <row r="35" spans="1:24" ht="13.5" customHeight="1" x14ac:dyDescent="0.35">
      <c r="B35" s="29" t="s">
        <v>2031</v>
      </c>
      <c r="C35" s="52">
        <f>C27+C24*C28</f>
        <v>878</v>
      </c>
      <c r="D35" s="52">
        <f>D27+D24*D28</f>
        <v>1780</v>
      </c>
      <c r="E35" s="52">
        <f>E27+E24*E28</f>
        <v>3420</v>
      </c>
      <c r="F35" s="52">
        <f>F27+F24*F28</f>
        <v>1780</v>
      </c>
      <c r="H35" s="67">
        <v>6</v>
      </c>
      <c r="I35" s="243">
        <v>395589</v>
      </c>
      <c r="J35" s="243">
        <v>385986</v>
      </c>
      <c r="K35" s="243">
        <v>376593</v>
      </c>
      <c r="L35" s="243">
        <v>367408</v>
      </c>
    </row>
    <row r="36" spans="1:24" ht="13.5" customHeight="1" x14ac:dyDescent="0.35">
      <c r="B36" s="60" t="s">
        <v>2032</v>
      </c>
      <c r="C36" s="220">
        <f>C27+(C24*(1+C26-C28)^30+C25*((1+C26-C28)^30-1)/(C26-C28))*C28</f>
        <v>12334.359196161833</v>
      </c>
      <c r="D36" s="220">
        <f>D27+(D24*(1+D26-D28)^30+D25*((1+D26-D28)^30-1)/(D26-D28))*D28</f>
        <v>22462.592603613175</v>
      </c>
      <c r="E36" s="220">
        <f>E27+(E24*(1+E26-E28)^30+E25*((1+E26-E28)^30-1)/(E26-E28))*E28</f>
        <v>35810.574017543477</v>
      </c>
      <c r="F36" s="220">
        <f>F27+(F24*(1+F26-F28)^30+F25*((1+F26-F28)^30-1)/(F26-F28))*F28</f>
        <v>22462.592603613175</v>
      </c>
      <c r="H36" s="67">
        <v>7</v>
      </c>
      <c r="I36" s="65">
        <v>437258</v>
      </c>
      <c r="J36" s="65">
        <v>425005</v>
      </c>
      <c r="K36" s="65">
        <v>413072</v>
      </c>
      <c r="L36" s="65">
        <v>401452</v>
      </c>
    </row>
    <row r="37" spans="1:24" ht="13.5" customHeight="1" x14ac:dyDescent="0.35">
      <c r="B37" s="60" t="s">
        <v>2033</v>
      </c>
      <c r="C37" s="220">
        <f>C27*C29</f>
        <v>2340</v>
      </c>
      <c r="D37" s="220">
        <f>D27*D29</f>
        <v>5400</v>
      </c>
      <c r="E37" s="220">
        <f>E27*E29</f>
        <v>12600</v>
      </c>
      <c r="F37" s="220">
        <f>F27*F29</f>
        <v>5400</v>
      </c>
      <c r="H37" s="67">
        <v>8</v>
      </c>
      <c r="I37" s="243">
        <v>482052</v>
      </c>
      <c r="J37" s="243">
        <v>466755</v>
      </c>
      <c r="K37" s="243">
        <v>451921</v>
      </c>
      <c r="L37" s="243">
        <v>437539</v>
      </c>
    </row>
    <row r="38" spans="1:24" ht="13.5" customHeight="1" x14ac:dyDescent="0.35">
      <c r="B38" s="187" t="s">
        <v>2034</v>
      </c>
      <c r="C38" s="186">
        <f>C34</f>
        <v>3064089.7990404582</v>
      </c>
      <c r="D38" s="186">
        <f>D34</f>
        <v>2785324.0754516469</v>
      </c>
      <c r="E38" s="186">
        <f>E34</f>
        <v>2359371.6011695652</v>
      </c>
      <c r="F38" s="186">
        <f>F34</f>
        <v>2785324.0754516469</v>
      </c>
      <c r="H38" s="67">
        <v>9</v>
      </c>
      <c r="I38" s="65">
        <v>530206</v>
      </c>
      <c r="J38" s="65">
        <v>511428</v>
      </c>
      <c r="K38" s="65">
        <v>493296</v>
      </c>
      <c r="L38" s="65">
        <v>475792</v>
      </c>
    </row>
    <row r="39" spans="1:24" ht="13.5" customHeight="1" x14ac:dyDescent="0.35">
      <c r="B39" s="224" t="s">
        <v>2035</v>
      </c>
      <c r="C39" s="225" t="s">
        <v>2036</v>
      </c>
      <c r="D39" s="225">
        <f>C34-D34</f>
        <v>278765.72358881123</v>
      </c>
      <c r="E39" s="225">
        <f>C34-E34</f>
        <v>704718.19787089294</v>
      </c>
      <c r="F39" s="225">
        <f>C34-F34</f>
        <v>278765.72358881123</v>
      </c>
      <c r="H39" s="67">
        <v>10</v>
      </c>
      <c r="I39" s="243">
        <v>581971</v>
      </c>
      <c r="J39" s="243">
        <v>559228</v>
      </c>
      <c r="K39" s="243">
        <v>537361</v>
      </c>
      <c r="L39" s="243">
        <v>516339</v>
      </c>
    </row>
    <row r="40" spans="1:24" ht="36" customHeight="1" x14ac:dyDescent="0.35">
      <c r="A40" s="2" t="s">
        <v>2037</v>
      </c>
      <c r="B40" s="2"/>
      <c r="C40" s="2"/>
      <c r="D40" s="2"/>
      <c r="E40" s="2"/>
      <c r="F40" s="2"/>
      <c r="G40" s="2"/>
      <c r="H40" s="2"/>
      <c r="I40" s="2"/>
      <c r="J40" s="2"/>
      <c r="K40" s="2"/>
      <c r="L40" s="2"/>
      <c r="M40" s="2"/>
      <c r="N40" s="2"/>
      <c r="O40" s="2"/>
      <c r="P40" s="2"/>
      <c r="Q40" s="2"/>
      <c r="R40" s="2"/>
      <c r="S40" s="2"/>
      <c r="T40" s="2"/>
      <c r="U40" s="2"/>
      <c r="V40" s="2"/>
      <c r="W40" s="2"/>
      <c r="X40" s="2"/>
    </row>
    <row r="41" spans="1:24" ht="13.5" customHeight="1" x14ac:dyDescent="0.35">
      <c r="B41" s="193" t="s">
        <v>2038</v>
      </c>
      <c r="C41" s="64">
        <f>IF(C34*0.05&gt;0,(C34-C34)/(C34*0.05),0)</f>
        <v>0</v>
      </c>
      <c r="D41" s="64">
        <f>IF(C34*0.05&gt;0,(C34-D34)/(C34*0.05),0)</f>
        <v>1.8195662782214068</v>
      </c>
      <c r="E41" s="64">
        <f>IF(C34*0.05&gt;0,(C34-E34)/(C34*0.05),0)</f>
        <v>4.5998534252591456</v>
      </c>
      <c r="F41" s="64">
        <f>IF(C34*0.05&gt;0,(C34-F34)/(C34*0.05),0)</f>
        <v>1.8195662782214068</v>
      </c>
      <c r="H41" s="67">
        <v>12</v>
      </c>
      <c r="I41" s="243">
        <v>697441</v>
      </c>
      <c r="J41" s="243">
        <v>665100</v>
      </c>
      <c r="K41" s="243">
        <v>634268</v>
      </c>
      <c r="L41" s="243">
        <v>604879</v>
      </c>
    </row>
    <row r="42" spans="1:24" ht="13.5" customHeight="1" x14ac:dyDescent="0.35">
      <c r="H42" s="67">
        <v>13</v>
      </c>
      <c r="I42" s="65">
        <v>761749</v>
      </c>
      <c r="J42" s="65">
        <v>723657</v>
      </c>
      <c r="K42" s="65">
        <v>687495</v>
      </c>
      <c r="L42" s="65">
        <v>653171</v>
      </c>
    </row>
    <row r="43" spans="1:24" ht="13.5" customHeight="1" x14ac:dyDescent="0.35">
      <c r="H43" s="67">
        <v>14</v>
      </c>
      <c r="I43" s="243">
        <v>830880</v>
      </c>
      <c r="J43" s="243">
        <v>786313</v>
      </c>
      <c r="K43" s="243">
        <v>744182</v>
      </c>
      <c r="L43" s="243">
        <v>704362</v>
      </c>
    </row>
    <row r="44" spans="1:24" ht="13.5" customHeight="1" x14ac:dyDescent="0.35">
      <c r="H44" s="67">
        <v>15</v>
      </c>
      <c r="I44" s="65">
        <v>905196</v>
      </c>
      <c r="J44" s="65">
        <v>853355</v>
      </c>
      <c r="K44" s="65">
        <v>804554</v>
      </c>
      <c r="L44" s="65">
        <v>758623</v>
      </c>
    </row>
    <row r="45" spans="1:24" ht="13.5" customHeight="1" x14ac:dyDescent="0.35">
      <c r="H45" s="67">
        <v>16</v>
      </c>
      <c r="I45" s="243">
        <v>985086</v>
      </c>
      <c r="J45" s="243">
        <v>925089</v>
      </c>
      <c r="K45" s="243">
        <v>868850</v>
      </c>
      <c r="L45" s="243">
        <v>816141</v>
      </c>
    </row>
    <row r="46" spans="1:24" ht="13.5" customHeight="1" x14ac:dyDescent="0.35">
      <c r="H46" s="67">
        <v>17</v>
      </c>
      <c r="I46" s="65">
        <v>1070967</v>
      </c>
      <c r="J46" s="65">
        <v>1001846</v>
      </c>
      <c r="K46" s="65">
        <v>937326</v>
      </c>
      <c r="L46" s="65">
        <v>877109</v>
      </c>
    </row>
    <row r="47" spans="1:24" ht="13.5" customHeight="1" x14ac:dyDescent="0.35">
      <c r="H47" s="67">
        <v>18</v>
      </c>
      <c r="I47" s="243">
        <v>1163289</v>
      </c>
      <c r="J47" s="243">
        <v>1083975</v>
      </c>
      <c r="K47" s="243">
        <v>1010252</v>
      </c>
      <c r="L47" s="243">
        <v>941736</v>
      </c>
    </row>
    <row r="48" spans="1:24" ht="13.5" customHeight="1" x14ac:dyDescent="0.35">
      <c r="H48" s="67">
        <v>19</v>
      </c>
      <c r="I48" s="65">
        <v>1262536</v>
      </c>
      <c r="J48" s="65">
        <v>1171853</v>
      </c>
      <c r="K48" s="65">
        <v>1087918</v>
      </c>
      <c r="L48" s="65">
        <v>1010240</v>
      </c>
    </row>
    <row r="49" spans="1:24" ht="13.5" customHeight="1" x14ac:dyDescent="0.35">
      <c r="H49" s="67">
        <v>20</v>
      </c>
      <c r="I49" s="243">
        <v>1369226</v>
      </c>
      <c r="J49" s="243">
        <v>1265883</v>
      </c>
      <c r="K49" s="243">
        <v>1170633</v>
      </c>
      <c r="L49" s="243">
        <v>1082854</v>
      </c>
    </row>
    <row r="50" spans="1:24" ht="13.5" customHeight="1" x14ac:dyDescent="0.35">
      <c r="H50" s="67">
        <v>21</v>
      </c>
      <c r="I50" s="65">
        <v>1483918</v>
      </c>
      <c r="J50" s="65">
        <v>1366495</v>
      </c>
      <c r="K50" s="65">
        <v>1258724</v>
      </c>
      <c r="L50" s="65">
        <v>1159825</v>
      </c>
    </row>
    <row r="51" spans="1:24" ht="13.5" customHeight="1" x14ac:dyDescent="0.35">
      <c r="H51" s="67">
        <v>22</v>
      </c>
      <c r="I51" s="243">
        <v>1607212</v>
      </c>
      <c r="J51" s="243">
        <v>1474149</v>
      </c>
      <c r="K51" s="243">
        <v>1352541</v>
      </c>
      <c r="L51" s="243">
        <v>1241415</v>
      </c>
    </row>
    <row r="52" spans="1:24" ht="13.5" customHeight="1" x14ac:dyDescent="0.35">
      <c r="H52" s="67">
        <v>23</v>
      </c>
      <c r="I52" s="65">
        <v>1739753</v>
      </c>
      <c r="J52" s="65">
        <v>1589340</v>
      </c>
      <c r="K52" s="65">
        <v>1452456</v>
      </c>
      <c r="L52" s="65">
        <v>1327900</v>
      </c>
    </row>
    <row r="53" spans="1:24" ht="13.5" customHeight="1" x14ac:dyDescent="0.35">
      <c r="H53" s="67">
        <v>24</v>
      </c>
      <c r="I53" s="243">
        <v>1882235</v>
      </c>
      <c r="J53" s="243">
        <v>1712593</v>
      </c>
      <c r="K53" s="243">
        <v>1558866</v>
      </c>
      <c r="L53" s="243">
        <v>1419574</v>
      </c>
    </row>
    <row r="54" spans="1:24" ht="13.5" customHeight="1" x14ac:dyDescent="0.35">
      <c r="H54" s="67">
        <v>25</v>
      </c>
      <c r="I54" s="65">
        <v>2035402</v>
      </c>
      <c r="J54" s="65">
        <v>1844475</v>
      </c>
      <c r="K54" s="65">
        <v>1672192</v>
      </c>
      <c r="L54" s="65">
        <v>1516748</v>
      </c>
    </row>
    <row r="55" spans="1:24" ht="13.5" customHeight="1" x14ac:dyDescent="0.35">
      <c r="H55" s="67">
        <v>26</v>
      </c>
      <c r="I55" s="243">
        <v>2200057</v>
      </c>
      <c r="J55" s="243">
        <v>1985588</v>
      </c>
      <c r="K55" s="243">
        <v>1792884</v>
      </c>
      <c r="L55" s="243">
        <v>1619753</v>
      </c>
    </row>
    <row r="56" spans="1:24" ht="13.5" customHeight="1" x14ac:dyDescent="0.35">
      <c r="H56" s="67">
        <v>27</v>
      </c>
      <c r="I56" s="65">
        <v>2377062</v>
      </c>
      <c r="J56" s="65">
        <v>2136579</v>
      </c>
      <c r="K56" s="65">
        <v>1921422</v>
      </c>
      <c r="L56" s="65">
        <v>1728938</v>
      </c>
    </row>
    <row r="57" spans="1:24" ht="13.5" customHeight="1" x14ac:dyDescent="0.35">
      <c r="H57" s="67">
        <v>28</v>
      </c>
      <c r="I57" s="243">
        <v>2567341</v>
      </c>
      <c r="J57" s="243">
        <v>2298140</v>
      </c>
      <c r="K57" s="243">
        <v>2058314</v>
      </c>
      <c r="L57" s="243">
        <v>1844675</v>
      </c>
    </row>
    <row r="58" spans="1:24" ht="13.5" customHeight="1" x14ac:dyDescent="0.35">
      <c r="H58" s="67">
        <v>29</v>
      </c>
      <c r="I58" s="65">
        <v>2771892</v>
      </c>
      <c r="J58" s="65">
        <v>2471010</v>
      </c>
      <c r="K58" s="65">
        <v>2204105</v>
      </c>
      <c r="L58" s="65">
        <v>1967355</v>
      </c>
    </row>
    <row r="59" spans="1:24" ht="13.5" customHeight="1" x14ac:dyDescent="0.35">
      <c r="H59" s="67">
        <v>30</v>
      </c>
      <c r="I59" s="243">
        <v>2991784</v>
      </c>
      <c r="J59" s="243">
        <v>2655980</v>
      </c>
      <c r="K59" s="243">
        <v>2359372</v>
      </c>
      <c r="L59" s="243">
        <v>2097396</v>
      </c>
    </row>
    <row r="61" spans="1:24" ht="6" customHeight="1"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9.5" customHeight="1" x14ac:dyDescent="0.35">
      <c r="H62" s="331" t="s">
        <v>2039</v>
      </c>
      <c r="I62" s="331"/>
      <c r="J62" s="331"/>
      <c r="K62" s="331"/>
      <c r="L62" s="331"/>
    </row>
  </sheetData>
  <mergeCells count="38">
    <mergeCell ref="H62:L62"/>
    <mergeCell ref="T29:X29"/>
    <mergeCell ref="T30:X30"/>
    <mergeCell ref="B31:F31"/>
    <mergeCell ref="T31:X31"/>
    <mergeCell ref="A40:X40"/>
    <mergeCell ref="T25:X25"/>
    <mergeCell ref="T26:X26"/>
    <mergeCell ref="H27:K27"/>
    <mergeCell ref="T27:X27"/>
    <mergeCell ref="T28:X28"/>
    <mergeCell ref="T21:X21"/>
    <mergeCell ref="A22:F22"/>
    <mergeCell ref="T22:X22"/>
    <mergeCell ref="T23:X23"/>
    <mergeCell ref="T24:X24"/>
    <mergeCell ref="T16:X16"/>
    <mergeCell ref="T17:X17"/>
    <mergeCell ref="T18:X18"/>
    <mergeCell ref="T19:X19"/>
    <mergeCell ref="T20:X20"/>
    <mergeCell ref="T11:X11"/>
    <mergeCell ref="T12:X12"/>
    <mergeCell ref="T13:X13"/>
    <mergeCell ref="T14:X14"/>
    <mergeCell ref="T15:X15"/>
    <mergeCell ref="T6:X6"/>
    <mergeCell ref="T7:X7"/>
    <mergeCell ref="T8:X8"/>
    <mergeCell ref="T9:X9"/>
    <mergeCell ref="T10:X10"/>
    <mergeCell ref="A1:X1"/>
    <mergeCell ref="A2:X2"/>
    <mergeCell ref="A4:F4"/>
    <mergeCell ref="H4:K4"/>
    <mergeCell ref="M4:O4"/>
    <mergeCell ref="Q4:S4"/>
    <mergeCell ref="T4:X4"/>
  </mergeCells>
  <pageMargins left="0.75" right="0.75" top="1" bottom="1" header="0.511811023622047" footer="0.511811023622047"/>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A8C6B"/>
  </sheetPr>
  <dimension ref="A1:X57"/>
  <sheetViews>
    <sheetView showGridLines="0" zoomScaleNormal="100" workbookViewId="0">
      <pane xSplit="2" ySplit="4" topLeftCell="C46" activePane="bottomRight" state="frozen"/>
      <selection pane="topRight" activeCell="C1" sqref="C1"/>
      <selection pane="bottomLeft" activeCell="A46" sqref="A46"/>
      <selection pane="bottomRight"/>
    </sheetView>
  </sheetViews>
  <sheetFormatPr defaultColWidth="8.6328125" defaultRowHeight="14.5" x14ac:dyDescent="0.35"/>
  <cols>
    <col min="1" max="1" width="2" customWidth="1"/>
    <col min="2" max="2" width="30" customWidth="1"/>
    <col min="3" max="3" width="14" customWidth="1"/>
    <col min="4" max="6" width="13" customWidth="1"/>
    <col min="7" max="7" width="2" customWidth="1"/>
    <col min="8" max="8" width="30" customWidth="1"/>
    <col min="9" max="9" width="14" customWidth="1"/>
    <col min="10" max="12" width="13" customWidth="1"/>
    <col min="13" max="13" width="2" customWidth="1"/>
    <col min="14" max="14" width="30" customWidth="1"/>
    <col min="15" max="15" width="14" customWidth="1"/>
    <col min="16" max="16" width="13" customWidth="1"/>
    <col min="17" max="17" width="2" customWidth="1"/>
    <col min="18" max="18" width="30" customWidth="1"/>
    <col min="19" max="19" width="14" customWidth="1"/>
    <col min="20" max="20" width="2" customWidth="1"/>
    <col min="21" max="21" width="22" customWidth="1"/>
    <col min="22" max="24" width="2" customWidth="1"/>
  </cols>
  <sheetData>
    <row r="1" spans="1:24" ht="43.5" customHeight="1" x14ac:dyDescent="0.35">
      <c r="A1" s="9" t="s">
        <v>2040</v>
      </c>
      <c r="B1" s="9"/>
      <c r="C1" s="9"/>
      <c r="D1" s="9"/>
      <c r="E1" s="9"/>
      <c r="F1" s="9"/>
      <c r="G1" s="9"/>
      <c r="H1" s="9"/>
      <c r="I1" s="9"/>
      <c r="J1" s="9"/>
      <c r="K1" s="9"/>
      <c r="L1" s="9"/>
      <c r="M1" s="9"/>
      <c r="N1" s="9"/>
      <c r="O1" s="9"/>
      <c r="P1" s="9"/>
      <c r="Q1" s="9"/>
      <c r="R1" s="9"/>
      <c r="S1" s="9"/>
      <c r="T1" s="9"/>
      <c r="U1" s="9"/>
      <c r="V1" s="9"/>
      <c r="W1" s="9"/>
      <c r="X1" s="9"/>
    </row>
    <row r="2" spans="1:24" ht="18" customHeight="1" x14ac:dyDescent="0.35">
      <c r="A2" s="8" t="s">
        <v>2041</v>
      </c>
      <c r="B2" s="8"/>
      <c r="C2" s="8"/>
      <c r="D2" s="8"/>
      <c r="E2" s="8"/>
      <c r="F2" s="8"/>
      <c r="G2" s="8"/>
      <c r="H2" s="8"/>
      <c r="I2" s="8"/>
      <c r="J2" s="8"/>
      <c r="K2" s="8"/>
      <c r="L2" s="8"/>
      <c r="M2" s="8"/>
      <c r="N2" s="8"/>
      <c r="O2" s="8"/>
      <c r="P2" s="8"/>
      <c r="Q2" s="8"/>
      <c r="R2" s="8"/>
      <c r="S2" s="8"/>
      <c r="T2" s="8"/>
      <c r="U2" s="8"/>
      <c r="V2" s="8"/>
      <c r="W2" s="8"/>
      <c r="X2" s="8"/>
    </row>
    <row r="3" spans="1:24" ht="7.5" customHeight="1" x14ac:dyDescent="0.35">
      <c r="A3" s="19"/>
      <c r="B3" s="19"/>
      <c r="C3" s="19"/>
      <c r="D3" s="19"/>
      <c r="E3" s="19"/>
      <c r="F3" s="19"/>
      <c r="G3" s="19"/>
      <c r="H3" s="19"/>
      <c r="I3" s="19"/>
      <c r="J3" s="19"/>
      <c r="K3" s="19"/>
      <c r="L3" s="19"/>
      <c r="M3" s="19"/>
      <c r="N3" s="19"/>
      <c r="O3" s="19"/>
      <c r="P3" s="19"/>
      <c r="Q3" s="19"/>
      <c r="R3" s="19"/>
      <c r="S3" s="19"/>
      <c r="T3" s="19"/>
      <c r="U3" s="19"/>
      <c r="V3" s="19"/>
      <c r="W3" s="19"/>
      <c r="X3" s="19"/>
    </row>
    <row r="4" spans="1:24" ht="19.5" customHeight="1" x14ac:dyDescent="0.35">
      <c r="A4" s="7" t="s">
        <v>2042</v>
      </c>
      <c r="B4" s="7"/>
      <c r="C4" s="7"/>
      <c r="D4" s="7"/>
      <c r="E4" s="7"/>
      <c r="F4" s="7"/>
      <c r="H4" s="7" t="s">
        <v>2043</v>
      </c>
      <c r="I4" s="7"/>
      <c r="J4" s="7"/>
      <c r="K4" s="7"/>
      <c r="L4" s="7"/>
      <c r="N4" s="7" t="s">
        <v>2044</v>
      </c>
      <c r="O4" s="7"/>
      <c r="P4" s="7"/>
      <c r="Q4" s="7"/>
      <c r="R4" s="7" t="s">
        <v>2045</v>
      </c>
      <c r="S4" s="7"/>
      <c r="T4" s="7"/>
      <c r="U4" s="7"/>
    </row>
    <row r="5" spans="1:24" ht="43.5" customHeight="1" x14ac:dyDescent="0.35">
      <c r="B5" s="15" t="s">
        <v>2046</v>
      </c>
      <c r="C5" s="20" t="s">
        <v>2047</v>
      </c>
      <c r="D5" s="20" t="s">
        <v>2048</v>
      </c>
      <c r="E5" s="20" t="s">
        <v>2049</v>
      </c>
      <c r="F5" s="20" t="s">
        <v>2050</v>
      </c>
      <c r="H5" s="15" t="s">
        <v>2051</v>
      </c>
      <c r="I5" s="20" t="s">
        <v>2052</v>
      </c>
      <c r="J5" s="20" t="s">
        <v>2053</v>
      </c>
      <c r="K5" s="20" t="s">
        <v>2054</v>
      </c>
      <c r="L5" s="20" t="s">
        <v>2055</v>
      </c>
      <c r="N5" s="15" t="s">
        <v>392</v>
      </c>
      <c r="O5" s="20" t="s">
        <v>2056</v>
      </c>
      <c r="P5" s="20" t="s">
        <v>2057</v>
      </c>
      <c r="Q5" s="20" t="s">
        <v>2058</v>
      </c>
      <c r="R5" s="15" t="s">
        <v>2059</v>
      </c>
      <c r="S5" s="20" t="s">
        <v>2052</v>
      </c>
      <c r="T5" s="20" t="s">
        <v>1514</v>
      </c>
      <c r="U5" s="20" t="s">
        <v>1821</v>
      </c>
    </row>
    <row r="6" spans="1:24" ht="21.75" customHeight="1" x14ac:dyDescent="0.35">
      <c r="B6" s="245" t="s">
        <v>2060</v>
      </c>
      <c r="C6" s="71"/>
      <c r="D6" s="179"/>
      <c r="E6" s="71"/>
      <c r="F6" s="179"/>
      <c r="H6" s="245" t="s">
        <v>2061</v>
      </c>
      <c r="I6" s="71"/>
      <c r="J6" s="179"/>
      <c r="K6" s="71"/>
      <c r="L6" s="179"/>
      <c r="N6" s="245" t="s">
        <v>2062</v>
      </c>
      <c r="O6" s="140"/>
      <c r="P6" s="140"/>
      <c r="Q6" s="140"/>
      <c r="R6" s="245" t="s">
        <v>2063</v>
      </c>
      <c r="S6" s="71"/>
      <c r="T6" s="71"/>
      <c r="U6" s="179"/>
    </row>
    <row r="7" spans="1:24" ht="21.75" customHeight="1" x14ac:dyDescent="0.35">
      <c r="B7" s="29" t="s">
        <v>2064</v>
      </c>
      <c r="C7" s="72" t="s">
        <v>2065</v>
      </c>
      <c r="D7" s="184" t="s">
        <v>2066</v>
      </c>
      <c r="E7" s="72" t="s">
        <v>2067</v>
      </c>
      <c r="F7" s="184" t="s">
        <v>2068</v>
      </c>
      <c r="H7" s="29" t="s">
        <v>1527</v>
      </c>
      <c r="I7" s="72" t="s">
        <v>2069</v>
      </c>
      <c r="J7" s="184" t="s">
        <v>2070</v>
      </c>
      <c r="K7" s="72" t="s">
        <v>2071</v>
      </c>
      <c r="L7" s="184" t="s">
        <v>2072</v>
      </c>
      <c r="N7" s="165" t="s">
        <v>2073</v>
      </c>
      <c r="O7" s="246">
        <v>5.7000000000000002E-2</v>
      </c>
      <c r="P7" s="246">
        <v>4.2000000000000003E-2</v>
      </c>
      <c r="Q7" s="246">
        <v>3.7999999999999999E-2</v>
      </c>
      <c r="R7" s="29" t="s">
        <v>2074</v>
      </c>
      <c r="S7" s="72" t="s">
        <v>2075</v>
      </c>
      <c r="T7" s="72" t="s">
        <v>2076</v>
      </c>
      <c r="U7" s="184" t="s">
        <v>2077</v>
      </c>
    </row>
    <row r="8" spans="1:24" ht="21.75" customHeight="1" x14ac:dyDescent="0.35">
      <c r="B8" s="245" t="s">
        <v>2078</v>
      </c>
      <c r="C8" s="71"/>
      <c r="D8" s="179"/>
      <c r="E8" s="71"/>
      <c r="F8" s="179"/>
      <c r="H8" s="29" t="s">
        <v>2079</v>
      </c>
      <c r="I8" s="72" t="s">
        <v>2080</v>
      </c>
      <c r="J8" s="184" t="s">
        <v>2081</v>
      </c>
      <c r="K8" s="72" t="s">
        <v>2082</v>
      </c>
      <c r="L8" s="184" t="s">
        <v>2083</v>
      </c>
      <c r="N8" s="165" t="s">
        <v>123</v>
      </c>
      <c r="O8" s="247">
        <v>7.9000000000000001E-2</v>
      </c>
      <c r="P8" s="246">
        <v>5.8000000000000003E-2</v>
      </c>
      <c r="Q8" s="246">
        <v>5.1999999999999998E-2</v>
      </c>
      <c r="R8" s="245" t="s">
        <v>2084</v>
      </c>
      <c r="S8" s="71"/>
      <c r="T8" s="71"/>
      <c r="U8" s="179"/>
    </row>
    <row r="9" spans="1:24" ht="21.75" customHeight="1" x14ac:dyDescent="0.35">
      <c r="B9" s="60" t="s">
        <v>2085</v>
      </c>
      <c r="C9" s="73" t="s">
        <v>2086</v>
      </c>
      <c r="D9" s="204" t="s">
        <v>2087</v>
      </c>
      <c r="E9" s="73" t="s">
        <v>2088</v>
      </c>
      <c r="F9" s="204" t="s">
        <v>2089</v>
      </c>
      <c r="H9" s="245" t="s">
        <v>2090</v>
      </c>
      <c r="I9" s="71"/>
      <c r="J9" s="179"/>
      <c r="K9" s="71"/>
      <c r="L9" s="179"/>
      <c r="N9" s="69" t="s">
        <v>2091</v>
      </c>
      <c r="O9" s="248">
        <v>9.8000000000000004E-2</v>
      </c>
      <c r="P9" s="247">
        <v>7.8E-2</v>
      </c>
      <c r="Q9" s="247">
        <v>7.4999999999999997E-2</v>
      </c>
      <c r="R9" s="29" t="s">
        <v>2092</v>
      </c>
      <c r="S9" s="72" t="s">
        <v>2093</v>
      </c>
      <c r="T9" s="72" t="s">
        <v>2094</v>
      </c>
      <c r="U9" s="184" t="s">
        <v>2095</v>
      </c>
    </row>
    <row r="10" spans="1:24" ht="21.75" customHeight="1" x14ac:dyDescent="0.35">
      <c r="B10" s="29" t="s">
        <v>1857</v>
      </c>
      <c r="C10" s="72" t="s">
        <v>2096</v>
      </c>
      <c r="D10" s="184" t="s">
        <v>2097</v>
      </c>
      <c r="E10" s="72" t="s">
        <v>2098</v>
      </c>
      <c r="F10" s="184" t="s">
        <v>2099</v>
      </c>
      <c r="H10" s="29" t="s">
        <v>2100</v>
      </c>
      <c r="I10" s="72" t="s">
        <v>2101</v>
      </c>
      <c r="J10" s="184" t="s">
        <v>2102</v>
      </c>
      <c r="K10" s="72" t="s">
        <v>2103</v>
      </c>
      <c r="L10" s="184" t="s">
        <v>2104</v>
      </c>
      <c r="N10" s="69" t="s">
        <v>2105</v>
      </c>
      <c r="O10" s="248">
        <v>0.113</v>
      </c>
      <c r="P10" s="248">
        <v>9.1999999999999998E-2</v>
      </c>
      <c r="Q10" s="247">
        <v>8.5999999999999993E-2</v>
      </c>
      <c r="R10" s="60" t="s">
        <v>2106</v>
      </c>
      <c r="S10" s="73" t="s">
        <v>2107</v>
      </c>
      <c r="T10" s="73" t="s">
        <v>2108</v>
      </c>
      <c r="U10" s="170" t="s">
        <v>2109</v>
      </c>
    </row>
    <row r="11" spans="1:24" ht="21.75" customHeight="1" x14ac:dyDescent="0.35">
      <c r="B11" s="29" t="s">
        <v>2110</v>
      </c>
      <c r="C11" s="72" t="s">
        <v>2111</v>
      </c>
      <c r="D11" s="184" t="s">
        <v>2112</v>
      </c>
      <c r="E11" s="72" t="s">
        <v>2113</v>
      </c>
      <c r="F11" s="184" t="s">
        <v>2114</v>
      </c>
      <c r="H11" s="29" t="s">
        <v>2115</v>
      </c>
      <c r="I11" s="72" t="s">
        <v>2116</v>
      </c>
      <c r="J11" s="184" t="s">
        <v>2117</v>
      </c>
      <c r="K11" s="72" t="s">
        <v>2118</v>
      </c>
      <c r="L11" s="184" t="s">
        <v>2119</v>
      </c>
      <c r="N11" s="69" t="s">
        <v>2120</v>
      </c>
      <c r="O11" s="248">
        <v>0.124</v>
      </c>
      <c r="P11" s="248">
        <v>0.10299999999999999</v>
      </c>
      <c r="Q11" s="248">
        <v>9.5000000000000001E-2</v>
      </c>
      <c r="R11" s="245" t="s">
        <v>2121</v>
      </c>
      <c r="S11" s="71"/>
      <c r="T11" s="71"/>
      <c r="U11" s="179"/>
    </row>
    <row r="12" spans="1:24" ht="21.75" customHeight="1" x14ac:dyDescent="0.35">
      <c r="B12" s="245" t="s">
        <v>2122</v>
      </c>
      <c r="C12" s="71"/>
      <c r="D12" s="179"/>
      <c r="E12" s="71"/>
      <c r="F12" s="179"/>
      <c r="H12" s="29" t="s">
        <v>2123</v>
      </c>
      <c r="I12" s="72" t="s">
        <v>2124</v>
      </c>
      <c r="J12" s="184" t="s">
        <v>2125</v>
      </c>
      <c r="K12" s="72" t="s">
        <v>2126</v>
      </c>
      <c r="L12" s="184" t="s">
        <v>2127</v>
      </c>
      <c r="N12" s="29" t="s">
        <v>2128</v>
      </c>
      <c r="O12" s="248">
        <v>9.6000000000000002E-2</v>
      </c>
      <c r="P12" s="247">
        <v>7.5999999999999998E-2</v>
      </c>
      <c r="Q12" s="247">
        <v>7.2999999999999995E-2</v>
      </c>
      <c r="R12" s="29" t="s">
        <v>1559</v>
      </c>
      <c r="S12" s="72" t="s">
        <v>2129</v>
      </c>
      <c r="T12" s="72" t="s">
        <v>2130</v>
      </c>
      <c r="U12" s="204" t="s">
        <v>2131</v>
      </c>
    </row>
    <row r="13" spans="1:24" ht="21.75" customHeight="1" x14ac:dyDescent="0.35">
      <c r="B13" s="222" t="s">
        <v>2132</v>
      </c>
      <c r="C13" s="73" t="s">
        <v>2133</v>
      </c>
      <c r="D13" s="204" t="s">
        <v>2134</v>
      </c>
      <c r="E13" s="73" t="s">
        <v>2135</v>
      </c>
      <c r="F13" s="204" t="s">
        <v>2136</v>
      </c>
      <c r="H13" s="249" t="s">
        <v>2137</v>
      </c>
      <c r="I13" s="73"/>
      <c r="J13" s="204"/>
      <c r="K13" s="170"/>
      <c r="L13" s="170"/>
      <c r="N13" s="245" t="s">
        <v>2138</v>
      </c>
      <c r="O13" s="140"/>
      <c r="P13" s="140"/>
      <c r="Q13" s="140"/>
      <c r="R13" s="60" t="s">
        <v>2139</v>
      </c>
      <c r="S13" s="73" t="s">
        <v>2140</v>
      </c>
      <c r="T13" s="73" t="s">
        <v>2141</v>
      </c>
      <c r="U13" s="170" t="s">
        <v>2142</v>
      </c>
    </row>
    <row r="14" spans="1:24" ht="21.75" customHeight="1" x14ac:dyDescent="0.35">
      <c r="B14" s="245" t="s">
        <v>2143</v>
      </c>
      <c r="C14" s="71"/>
      <c r="D14" s="179"/>
      <c r="E14" s="71"/>
      <c r="F14" s="179"/>
      <c r="H14" s="60" t="s">
        <v>2144</v>
      </c>
      <c r="I14" s="73" t="s">
        <v>2145</v>
      </c>
      <c r="J14" s="204" t="s">
        <v>2146</v>
      </c>
      <c r="K14" s="170" t="s">
        <v>2147</v>
      </c>
      <c r="L14" s="170" t="s">
        <v>2148</v>
      </c>
      <c r="N14" s="69" t="s">
        <v>2149</v>
      </c>
      <c r="O14" s="248">
        <v>0.115</v>
      </c>
      <c r="P14" s="248">
        <v>9.0999999999999998E-2</v>
      </c>
      <c r="Q14" s="247">
        <v>8.6999999999999994E-2</v>
      </c>
      <c r="R14" s="60" t="s">
        <v>2150</v>
      </c>
      <c r="S14" s="73" t="s">
        <v>2151</v>
      </c>
      <c r="T14" s="73" t="s">
        <v>2152</v>
      </c>
      <c r="U14" s="170" t="s">
        <v>2153</v>
      </c>
    </row>
    <row r="15" spans="1:24" ht="21.75" customHeight="1" x14ac:dyDescent="0.35">
      <c r="B15" s="29" t="s">
        <v>1827</v>
      </c>
      <c r="C15" s="72" t="s">
        <v>2154</v>
      </c>
      <c r="D15" s="184" t="s">
        <v>2155</v>
      </c>
      <c r="E15" s="72" t="s">
        <v>2156</v>
      </c>
      <c r="F15" s="184" t="s">
        <v>2157</v>
      </c>
      <c r="H15" s="60" t="s">
        <v>2158</v>
      </c>
      <c r="I15" s="73" t="s">
        <v>2159</v>
      </c>
      <c r="J15" s="204" t="s">
        <v>2160</v>
      </c>
      <c r="K15" s="170" t="s">
        <v>2161</v>
      </c>
      <c r="L15" s="170" t="s">
        <v>2162</v>
      </c>
      <c r="N15" s="69" t="s">
        <v>2163</v>
      </c>
      <c r="O15" s="248">
        <v>0.122</v>
      </c>
      <c r="P15" s="248">
        <v>9.8000000000000004E-2</v>
      </c>
      <c r="Q15" s="248">
        <v>9.1999999999999998E-2</v>
      </c>
      <c r="R15" s="245" t="s">
        <v>2164</v>
      </c>
      <c r="S15" s="71"/>
      <c r="T15" s="71"/>
      <c r="U15" s="179"/>
    </row>
    <row r="16" spans="1:24" ht="21.75" customHeight="1" x14ac:dyDescent="0.35">
      <c r="B16" s="29" t="s">
        <v>2165</v>
      </c>
      <c r="C16" s="72" t="s">
        <v>2166</v>
      </c>
      <c r="D16" s="184" t="s">
        <v>2167</v>
      </c>
      <c r="E16" s="72" t="s">
        <v>2156</v>
      </c>
      <c r="F16" s="184" t="s">
        <v>2168</v>
      </c>
      <c r="H16" s="245" t="s">
        <v>2169</v>
      </c>
      <c r="I16" s="71"/>
      <c r="J16" s="179"/>
      <c r="K16" s="71"/>
      <c r="L16" s="179"/>
      <c r="N16" s="69" t="s">
        <v>2170</v>
      </c>
      <c r="O16" s="248">
        <v>0.113</v>
      </c>
      <c r="P16" s="247">
        <v>0.09</v>
      </c>
      <c r="Q16" s="247">
        <v>8.5999999999999993E-2</v>
      </c>
      <c r="R16" s="29" t="s">
        <v>2171</v>
      </c>
      <c r="S16" s="72" t="s">
        <v>2172</v>
      </c>
      <c r="T16" s="72" t="s">
        <v>2173</v>
      </c>
      <c r="U16" s="184" t="s">
        <v>2174</v>
      </c>
    </row>
    <row r="17" spans="1:24" ht="21.75" customHeight="1" x14ac:dyDescent="0.35">
      <c r="B17" s="245" t="s">
        <v>2175</v>
      </c>
      <c r="C17" s="71"/>
      <c r="D17" s="179"/>
      <c r="E17" s="71"/>
      <c r="F17" s="179"/>
      <c r="H17" s="29" t="s">
        <v>2176</v>
      </c>
      <c r="I17" s="72" t="s">
        <v>2177</v>
      </c>
      <c r="J17" s="184" t="s">
        <v>2178</v>
      </c>
      <c r="K17" s="72" t="s">
        <v>571</v>
      </c>
      <c r="L17" s="184" t="s">
        <v>2179</v>
      </c>
      <c r="N17" s="69" t="s">
        <v>2180</v>
      </c>
      <c r="O17" s="248">
        <v>0.11</v>
      </c>
      <c r="P17" s="247">
        <v>8.7999999999999995E-2</v>
      </c>
      <c r="Q17" s="247">
        <v>8.4000000000000005E-2</v>
      </c>
      <c r="R17" s="29" t="s">
        <v>2181</v>
      </c>
      <c r="S17" s="72" t="s">
        <v>2182</v>
      </c>
      <c r="T17" s="72" t="s">
        <v>2183</v>
      </c>
      <c r="U17" s="204" t="s">
        <v>2184</v>
      </c>
    </row>
    <row r="18" spans="1:24" ht="21.75" customHeight="1" x14ac:dyDescent="0.35">
      <c r="B18" s="183" t="s">
        <v>2185</v>
      </c>
      <c r="C18" s="71" t="s">
        <v>2186</v>
      </c>
      <c r="D18" s="179" t="s">
        <v>2187</v>
      </c>
      <c r="E18" s="71" t="s">
        <v>2188</v>
      </c>
      <c r="F18" s="179" t="s">
        <v>2189</v>
      </c>
      <c r="H18" s="29" t="s">
        <v>2190</v>
      </c>
      <c r="I18" s="72" t="s">
        <v>2191</v>
      </c>
      <c r="J18" s="184" t="s">
        <v>2192</v>
      </c>
      <c r="K18" s="72" t="s">
        <v>2193</v>
      </c>
      <c r="L18" s="184" t="s">
        <v>2194</v>
      </c>
      <c r="N18" s="69" t="s">
        <v>2195</v>
      </c>
      <c r="O18" s="248">
        <v>0.109</v>
      </c>
      <c r="P18" s="247">
        <v>8.5999999999999993E-2</v>
      </c>
      <c r="Q18" s="247">
        <v>8.2000000000000003E-2</v>
      </c>
      <c r="R18" s="29" t="s">
        <v>2196</v>
      </c>
      <c r="S18" s="72" t="s">
        <v>2197</v>
      </c>
      <c r="T18" s="72" t="s">
        <v>2198</v>
      </c>
      <c r="U18" s="184" t="s">
        <v>2199</v>
      </c>
    </row>
    <row r="19" spans="1:24" ht="21.75" customHeight="1" x14ac:dyDescent="0.35">
      <c r="B19" s="245" t="s">
        <v>2200</v>
      </c>
      <c r="C19" s="71"/>
      <c r="D19" s="179"/>
      <c r="E19" s="71"/>
      <c r="F19" s="179"/>
      <c r="H19" s="29" t="s">
        <v>2201</v>
      </c>
      <c r="I19" s="72" t="s">
        <v>2202</v>
      </c>
      <c r="J19" s="184" t="s">
        <v>2203</v>
      </c>
      <c r="K19" s="72" t="s">
        <v>2204</v>
      </c>
      <c r="L19" s="184" t="s">
        <v>2205</v>
      </c>
      <c r="N19" s="245" t="s">
        <v>2206</v>
      </c>
      <c r="O19" s="140"/>
      <c r="P19" s="140"/>
      <c r="Q19" s="140"/>
      <c r="R19" s="60" t="s">
        <v>2207</v>
      </c>
      <c r="S19" s="73" t="s">
        <v>2208</v>
      </c>
      <c r="T19" s="73" t="s">
        <v>2209</v>
      </c>
      <c r="U19" s="170" t="s">
        <v>2210</v>
      </c>
    </row>
    <row r="20" spans="1:24" ht="21.75" customHeight="1" x14ac:dyDescent="0.35">
      <c r="B20" s="29" t="s">
        <v>2211</v>
      </c>
      <c r="C20" s="72" t="s">
        <v>2212</v>
      </c>
      <c r="D20" s="184" t="s">
        <v>2213</v>
      </c>
      <c r="E20" s="72" t="s">
        <v>2214</v>
      </c>
      <c r="F20" s="184" t="s">
        <v>2215</v>
      </c>
      <c r="H20" s="245" t="s">
        <v>2216</v>
      </c>
      <c r="I20" s="71"/>
      <c r="J20" s="179"/>
      <c r="K20" s="71"/>
      <c r="L20" s="179"/>
      <c r="N20" s="29" t="s">
        <v>2217</v>
      </c>
      <c r="O20" s="248">
        <v>9.4E-2</v>
      </c>
      <c r="P20" s="247">
        <v>7.2999999999999995E-2</v>
      </c>
      <c r="Q20" s="247">
        <v>7.0999999999999994E-2</v>
      </c>
      <c r="R20" s="245" t="s">
        <v>2218</v>
      </c>
      <c r="S20" s="71"/>
      <c r="T20" s="71"/>
      <c r="U20" s="179"/>
    </row>
    <row r="21" spans="1:24" ht="21.75" customHeight="1" x14ac:dyDescent="0.35">
      <c r="B21" s="29" t="s">
        <v>2219</v>
      </c>
      <c r="C21" s="72" t="s">
        <v>2220</v>
      </c>
      <c r="D21" s="184" t="s">
        <v>2221</v>
      </c>
      <c r="E21" s="72" t="s">
        <v>2222</v>
      </c>
      <c r="F21" s="184" t="s">
        <v>2223</v>
      </c>
      <c r="H21" s="29" t="s">
        <v>2224</v>
      </c>
      <c r="I21" s="72" t="s">
        <v>2225</v>
      </c>
      <c r="J21" s="184" t="s">
        <v>2226</v>
      </c>
      <c r="K21" s="72" t="s">
        <v>571</v>
      </c>
      <c r="L21" s="184" t="s">
        <v>2227</v>
      </c>
      <c r="N21" s="60" t="s">
        <v>2228</v>
      </c>
      <c r="O21" s="250">
        <v>8.8999999999999996E-2</v>
      </c>
      <c r="P21" s="250">
        <v>6.8000000000000005E-2</v>
      </c>
      <c r="Q21" s="250">
        <v>6.6000000000000003E-2</v>
      </c>
      <c r="R21" s="29" t="s">
        <v>2229</v>
      </c>
      <c r="S21" s="72" t="s">
        <v>2230</v>
      </c>
      <c r="T21" s="72" t="s">
        <v>2231</v>
      </c>
      <c r="U21" s="184" t="s">
        <v>2232</v>
      </c>
    </row>
    <row r="22" spans="1:24" ht="21.75" customHeight="1" x14ac:dyDescent="0.35">
      <c r="B22" s="29" t="s">
        <v>2233</v>
      </c>
      <c r="C22" s="72" t="s">
        <v>2234</v>
      </c>
      <c r="D22" s="184" t="s">
        <v>2235</v>
      </c>
      <c r="E22" s="72" t="s">
        <v>2236</v>
      </c>
      <c r="F22" s="184" t="s">
        <v>2237</v>
      </c>
      <c r="H22" s="29" t="s">
        <v>2238</v>
      </c>
      <c r="I22" s="72" t="s">
        <v>2239</v>
      </c>
      <c r="J22" s="184" t="s">
        <v>2240</v>
      </c>
      <c r="K22" s="72" t="s">
        <v>571</v>
      </c>
      <c r="L22" s="184" t="s">
        <v>2241</v>
      </c>
      <c r="N22" s="60" t="s">
        <v>2242</v>
      </c>
      <c r="O22" s="250">
        <v>7.8E-2</v>
      </c>
      <c r="P22" s="250">
        <v>5.8999999999999997E-2</v>
      </c>
      <c r="Q22" s="250">
        <v>5.5E-2</v>
      </c>
      <c r="R22" s="29" t="s">
        <v>2243</v>
      </c>
      <c r="S22" s="72" t="s">
        <v>2244</v>
      </c>
      <c r="T22" s="72" t="s">
        <v>2245</v>
      </c>
      <c r="U22" s="184" t="s">
        <v>2246</v>
      </c>
    </row>
    <row r="23" spans="1:24" ht="21.75" customHeight="1" x14ac:dyDescent="0.35">
      <c r="H23" s="29" t="s">
        <v>2247</v>
      </c>
      <c r="I23" s="72" t="s">
        <v>2248</v>
      </c>
      <c r="J23" s="184" t="s">
        <v>2249</v>
      </c>
      <c r="K23" s="72" t="s">
        <v>2250</v>
      </c>
      <c r="L23" s="184" t="s">
        <v>2251</v>
      </c>
      <c r="N23" s="245" t="s">
        <v>2252</v>
      </c>
      <c r="O23" s="140"/>
      <c r="P23" s="140"/>
      <c r="Q23" s="140"/>
      <c r="R23" s="29" t="s">
        <v>2253</v>
      </c>
      <c r="S23" s="72" t="s">
        <v>2254</v>
      </c>
      <c r="T23" s="72" t="s">
        <v>2255</v>
      </c>
      <c r="U23" s="204" t="s">
        <v>2256</v>
      </c>
    </row>
    <row r="24" spans="1:24" ht="6" customHeight="1" x14ac:dyDescent="0.35">
      <c r="A24" s="19"/>
      <c r="B24" s="19"/>
      <c r="C24" s="19"/>
      <c r="D24" s="19"/>
      <c r="E24" s="19"/>
      <c r="F24" s="19"/>
      <c r="G24" s="19"/>
      <c r="H24" s="19"/>
      <c r="I24" s="19"/>
      <c r="J24" s="19"/>
      <c r="K24" s="19"/>
      <c r="L24" s="19"/>
      <c r="M24" s="19"/>
      <c r="N24" s="45" t="s">
        <v>2257</v>
      </c>
      <c r="O24" s="251">
        <v>0.124</v>
      </c>
      <c r="P24" s="251">
        <v>0.108</v>
      </c>
      <c r="Q24" s="251">
        <v>9.6000000000000002E-2</v>
      </c>
      <c r="R24" s="19"/>
      <c r="S24" s="19"/>
      <c r="T24" s="19"/>
      <c r="U24" s="19"/>
      <c r="V24" s="19"/>
      <c r="W24" s="19"/>
      <c r="X24" s="19"/>
    </row>
    <row r="25" spans="1:24" ht="6" customHeight="1" x14ac:dyDescent="0.35">
      <c r="A25" s="334" t="s">
        <v>2258</v>
      </c>
      <c r="B25" s="334"/>
      <c r="C25" s="334"/>
      <c r="D25" s="334"/>
      <c r="E25" s="334"/>
      <c r="F25" s="334"/>
      <c r="G25" s="19"/>
      <c r="H25" s="19"/>
      <c r="I25" s="19"/>
      <c r="J25" s="19"/>
      <c r="K25" s="19"/>
      <c r="L25" s="19"/>
      <c r="M25" s="19"/>
      <c r="N25" s="45" t="s">
        <v>2259</v>
      </c>
      <c r="O25" s="251">
        <v>0.21199999999999999</v>
      </c>
      <c r="P25" s="251">
        <v>0.14499999999999999</v>
      </c>
      <c r="Q25" s="251">
        <v>0.13</v>
      </c>
      <c r="R25" s="19"/>
      <c r="S25" s="19"/>
      <c r="T25" s="19"/>
      <c r="U25" s="19"/>
      <c r="V25" s="19"/>
      <c r="W25" s="19"/>
      <c r="X25" s="19"/>
    </row>
    <row r="26" spans="1:24" ht="19.5" customHeight="1" x14ac:dyDescent="0.35">
      <c r="B26" s="15" t="s">
        <v>2260</v>
      </c>
      <c r="C26" s="20" t="s">
        <v>2261</v>
      </c>
      <c r="D26" s="15" t="s">
        <v>2262</v>
      </c>
      <c r="E26" s="20" t="s">
        <v>2263</v>
      </c>
      <c r="F26" s="242" t="s">
        <v>2264</v>
      </c>
      <c r="H26" s="7" t="s">
        <v>2265</v>
      </c>
      <c r="I26" s="7"/>
      <c r="J26" s="7"/>
      <c r="K26" s="7"/>
      <c r="L26" s="7"/>
      <c r="N26" s="29" t="s">
        <v>2266</v>
      </c>
      <c r="O26" s="246">
        <v>1.7999999999999999E-2</v>
      </c>
      <c r="P26" s="246">
        <v>2E-3</v>
      </c>
      <c r="Q26" s="250">
        <v>-3.0000000000000001E-3</v>
      </c>
    </row>
    <row r="27" spans="1:24" ht="43.5" customHeight="1" x14ac:dyDescent="0.35">
      <c r="B27" s="25" t="s">
        <v>48</v>
      </c>
      <c r="C27" s="26">
        <v>200000</v>
      </c>
      <c r="D27" s="26">
        <v>200000</v>
      </c>
      <c r="E27" s="26">
        <v>200000</v>
      </c>
      <c r="F27" s="28"/>
      <c r="H27" s="15" t="s">
        <v>2267</v>
      </c>
      <c r="I27" s="20" t="s">
        <v>2268</v>
      </c>
      <c r="J27" s="20" t="s">
        <v>2269</v>
      </c>
      <c r="K27" s="20" t="s">
        <v>2270</v>
      </c>
      <c r="L27" s="20" t="s">
        <v>2271</v>
      </c>
      <c r="N27" s="29" t="s">
        <v>2272</v>
      </c>
      <c r="O27" s="246">
        <v>4.2999999999999997E-2</v>
      </c>
      <c r="P27" s="246">
        <v>3.2000000000000001E-2</v>
      </c>
      <c r="Q27" s="246">
        <v>2.5000000000000001E-2</v>
      </c>
    </row>
    <row r="28" spans="1:24" ht="21.75" customHeight="1" x14ac:dyDescent="0.35">
      <c r="B28" s="25" t="s">
        <v>57</v>
      </c>
      <c r="C28" s="26">
        <v>15000</v>
      </c>
      <c r="D28" s="26">
        <v>15000</v>
      </c>
      <c r="E28" s="26">
        <v>15000</v>
      </c>
      <c r="F28" s="28"/>
      <c r="H28" s="245" t="s">
        <v>2273</v>
      </c>
      <c r="I28" s="177"/>
      <c r="J28" s="177"/>
      <c r="K28" s="177"/>
      <c r="L28" s="177"/>
      <c r="N28" s="29" t="s">
        <v>2274</v>
      </c>
      <c r="O28" s="246">
        <v>3.2000000000000001E-2</v>
      </c>
      <c r="P28" s="246">
        <v>4.1000000000000002E-2</v>
      </c>
      <c r="Q28" s="246">
        <v>3.4000000000000002E-2</v>
      </c>
    </row>
    <row r="29" spans="1:24" ht="21.75" customHeight="1" x14ac:dyDescent="0.35">
      <c r="B29" s="25" t="s">
        <v>2275</v>
      </c>
      <c r="C29" s="35">
        <v>7.2999999999999995E-2</v>
      </c>
      <c r="D29" s="35">
        <v>8.6999999999999994E-2</v>
      </c>
      <c r="E29" s="35">
        <v>5.5E-2</v>
      </c>
      <c r="F29" s="28"/>
      <c r="H29" s="165" t="s">
        <v>2073</v>
      </c>
      <c r="I29" s="181" t="s">
        <v>2276</v>
      </c>
      <c r="J29" s="181" t="s">
        <v>226</v>
      </c>
      <c r="K29" s="181" t="s">
        <v>2277</v>
      </c>
      <c r="L29" s="181" t="s">
        <v>2278</v>
      </c>
      <c r="N29" s="222" t="s">
        <v>2279</v>
      </c>
      <c r="O29" s="248">
        <v>6.6000000000000003E-2</v>
      </c>
      <c r="P29" s="248">
        <v>3.6999999999999998E-2</v>
      </c>
      <c r="Q29" s="248">
        <v>4.1000000000000002E-2</v>
      </c>
    </row>
    <row r="30" spans="1:24" ht="21.75" customHeight="1" x14ac:dyDescent="0.35">
      <c r="B30" s="25" t="s">
        <v>102</v>
      </c>
      <c r="C30" s="102">
        <v>30</v>
      </c>
      <c r="D30" s="102">
        <v>30</v>
      </c>
      <c r="E30" s="102">
        <v>30</v>
      </c>
      <c r="F30" s="28"/>
      <c r="H30" s="165" t="s">
        <v>123</v>
      </c>
      <c r="I30" s="181" t="s">
        <v>2280</v>
      </c>
      <c r="J30" s="181" t="s">
        <v>234</v>
      </c>
      <c r="K30" s="181" t="s">
        <v>2281</v>
      </c>
      <c r="L30" s="181" t="s">
        <v>2282</v>
      </c>
    </row>
    <row r="31" spans="1:24" ht="21.75" customHeight="1" x14ac:dyDescent="0.35">
      <c r="B31" s="25" t="s">
        <v>2283</v>
      </c>
      <c r="C31" s="35">
        <v>2.5000000000000001E-2</v>
      </c>
      <c r="D31" s="35">
        <v>2.5000000000000001E-2</v>
      </c>
      <c r="E31" s="35">
        <v>2.5000000000000001E-2</v>
      </c>
      <c r="F31" s="28"/>
      <c r="H31" s="29" t="s">
        <v>2091</v>
      </c>
      <c r="I31" s="181" t="s">
        <v>2284</v>
      </c>
      <c r="J31" s="181" t="s">
        <v>2285</v>
      </c>
      <c r="K31" s="181" t="s">
        <v>2286</v>
      </c>
      <c r="L31" s="181" t="s">
        <v>2287</v>
      </c>
    </row>
    <row r="32" spans="1:24" ht="21.75" customHeight="1" x14ac:dyDescent="0.35">
      <c r="A32" s="19"/>
      <c r="B32" s="19"/>
      <c r="C32" s="19"/>
      <c r="D32" s="19"/>
      <c r="E32" s="19"/>
      <c r="F32" s="19"/>
      <c r="G32" s="19"/>
      <c r="H32" s="69" t="s">
        <v>2105</v>
      </c>
      <c r="I32" s="181" t="s">
        <v>2288</v>
      </c>
      <c r="J32" s="181" t="s">
        <v>2289</v>
      </c>
      <c r="K32" s="181" t="s">
        <v>2290</v>
      </c>
      <c r="L32" s="181" t="s">
        <v>2291</v>
      </c>
      <c r="M32" s="19"/>
      <c r="N32" s="44" t="s">
        <v>131</v>
      </c>
      <c r="O32" s="212">
        <v>3.7999999999999999E-2</v>
      </c>
      <c r="P32" s="19"/>
      <c r="Q32" s="19"/>
      <c r="R32" s="19"/>
      <c r="S32" s="19"/>
      <c r="T32" s="19"/>
      <c r="U32" s="19"/>
      <c r="V32" s="19"/>
      <c r="W32" s="19"/>
      <c r="X32" s="19"/>
    </row>
    <row r="33" spans="1:24" ht="21.75" customHeight="1" x14ac:dyDescent="0.35">
      <c r="B33" s="5" t="s">
        <v>711</v>
      </c>
      <c r="C33" s="5"/>
      <c r="D33" s="5"/>
      <c r="E33" s="5"/>
      <c r="F33" s="5"/>
      <c r="H33" s="60" t="s">
        <v>2292</v>
      </c>
      <c r="I33" s="252" t="s">
        <v>2293</v>
      </c>
      <c r="J33" s="252" t="s">
        <v>2294</v>
      </c>
      <c r="K33" s="252" t="s">
        <v>2295</v>
      </c>
      <c r="L33" s="252" t="s">
        <v>2296</v>
      </c>
      <c r="N33" s="67" t="s">
        <v>2297</v>
      </c>
      <c r="O33" s="210">
        <v>5.1999999999999998E-2</v>
      </c>
    </row>
    <row r="34" spans="1:24" ht="21.75" customHeight="1" x14ac:dyDescent="0.35">
      <c r="B34" s="187" t="s">
        <v>2298</v>
      </c>
      <c r="C34" s="186">
        <f>C27*(1+C29)^C30+C28*((1+C29)^C30-1)/C29</f>
        <v>3151591.4204707006</v>
      </c>
      <c r="D34" s="186">
        <f>D27*(1+D29)^D30+D28*((1+D29)^D30-1)/D29</f>
        <v>4376545.8107186016</v>
      </c>
      <c r="E34" s="186">
        <f>E27*(1+E29)^E30+E28*((1+E29)^E30-1)/E29</f>
        <v>2083322.4272413012</v>
      </c>
      <c r="F34" s="186">
        <f>D34-C34</f>
        <v>1224954.390247901</v>
      </c>
      <c r="H34" s="245" t="s">
        <v>2299</v>
      </c>
      <c r="I34" s="177"/>
      <c r="J34" s="177"/>
      <c r="K34" s="177"/>
      <c r="L34" s="177"/>
      <c r="N34" s="67" t="s">
        <v>106</v>
      </c>
      <c r="O34" s="210">
        <v>7.4999999999999997E-2</v>
      </c>
    </row>
    <row r="35" spans="1:24" ht="21.75" customHeight="1" x14ac:dyDescent="0.35">
      <c r="B35" s="222" t="s">
        <v>2300</v>
      </c>
      <c r="C35" s="223">
        <f>(C27*(1+C29)^C30+C28*((1+C29)^C30-1)/C29)/(1+C31)^C30</f>
        <v>1502498.1563885119</v>
      </c>
      <c r="D35" s="223">
        <f>(D27*(1+D29)^D30+D28*((1+D29)^D30-1)/D29)/(1+D31)^D30</f>
        <v>2086486.201619515</v>
      </c>
      <c r="E35" s="223">
        <f>(E27*(1+E29)^E30+E28*((1+E29)^E30-1)/E29)/(1+E31)^E30</f>
        <v>993208.72806075565</v>
      </c>
      <c r="F35" s="149"/>
      <c r="H35" s="29" t="s">
        <v>2301</v>
      </c>
      <c r="I35" s="181" t="s">
        <v>2302</v>
      </c>
      <c r="J35" s="181" t="s">
        <v>571</v>
      </c>
      <c r="K35" s="181" t="s">
        <v>571</v>
      </c>
      <c r="L35" s="181" t="s">
        <v>2303</v>
      </c>
      <c r="N35" s="67" t="s">
        <v>85</v>
      </c>
      <c r="O35" s="210">
        <v>8.5999999999999993E-2</v>
      </c>
    </row>
    <row r="36" spans="1:24" ht="21.75" customHeight="1" x14ac:dyDescent="0.35">
      <c r="B36" s="29" t="s">
        <v>152</v>
      </c>
      <c r="C36" s="52">
        <f>C28*C30</f>
        <v>450000</v>
      </c>
      <c r="D36" s="52">
        <f>D28*D30</f>
        <v>450000</v>
      </c>
      <c r="E36" s="52">
        <f>E28*E30</f>
        <v>450000</v>
      </c>
      <c r="F36" s="149"/>
      <c r="H36" s="29" t="s">
        <v>2304</v>
      </c>
      <c r="I36" s="181" t="s">
        <v>2305</v>
      </c>
      <c r="J36" s="181" t="s">
        <v>571</v>
      </c>
      <c r="K36" s="181" t="s">
        <v>571</v>
      </c>
      <c r="L36" s="181" t="s">
        <v>2306</v>
      </c>
      <c r="N36" s="67" t="s">
        <v>61</v>
      </c>
      <c r="O36" s="210">
        <v>9.5000000000000001E-2</v>
      </c>
    </row>
    <row r="37" spans="1:24" ht="19.5" customHeight="1" x14ac:dyDescent="0.35">
      <c r="B37" s="222" t="s">
        <v>161</v>
      </c>
      <c r="C37" s="223">
        <f>C27*(1+C29)^C30+C28*((1+C29)^C30-1)/C29-C27-C28*C30</f>
        <v>2501591.4204707006</v>
      </c>
      <c r="D37" s="223">
        <f>D27*(1+D29)^D30+D28*((1+D29)^D30-1)/D29-D27-D28*D30</f>
        <v>3726545.8107186016</v>
      </c>
      <c r="E37" s="223">
        <f>E27*(1+E29)^E30+E28*((1+E29)^E30-1)/E29-E27-E28*E30</f>
        <v>1433322.4272413012</v>
      </c>
      <c r="F37" s="149"/>
      <c r="H37" s="222" t="s">
        <v>2307</v>
      </c>
      <c r="I37" s="253" t="s">
        <v>2308</v>
      </c>
      <c r="J37" s="253" t="s">
        <v>571</v>
      </c>
      <c r="K37" s="253" t="s">
        <v>571</v>
      </c>
      <c r="L37" s="253" t="s">
        <v>2309</v>
      </c>
      <c r="N37" s="7" t="s">
        <v>2310</v>
      </c>
      <c r="O37" s="7"/>
      <c r="P37" s="7"/>
      <c r="Q37" s="7"/>
    </row>
    <row r="38" spans="1:24" ht="6" customHeight="1" x14ac:dyDescent="0.35">
      <c r="A38" s="19"/>
      <c r="B38" s="45" t="s">
        <v>2311</v>
      </c>
      <c r="C38" s="254">
        <f>(1+C29)/(1+C31)-1</f>
        <v>4.6829268292682968E-2</v>
      </c>
      <c r="D38" s="254">
        <f>(1+D29)/(1+D31)-1</f>
        <v>6.0487804878048834E-2</v>
      </c>
      <c r="E38" s="254">
        <f>(1+E29)/(1+E31)-1</f>
        <v>2.9268292682926855E-2</v>
      </c>
      <c r="F38" s="255"/>
      <c r="G38" s="19"/>
      <c r="H38" s="256" t="s">
        <v>2312</v>
      </c>
      <c r="I38" s="185"/>
      <c r="J38" s="185"/>
      <c r="K38" s="185"/>
      <c r="L38" s="185"/>
      <c r="M38" s="19"/>
      <c r="N38" s="19"/>
      <c r="O38" s="19"/>
      <c r="P38" s="19"/>
      <c r="Q38" s="19"/>
      <c r="R38" s="19"/>
      <c r="S38" s="19"/>
      <c r="T38" s="19"/>
      <c r="U38" s="19"/>
      <c r="V38" s="19"/>
      <c r="W38" s="19"/>
      <c r="X38" s="19"/>
    </row>
    <row r="39" spans="1:24" ht="36" customHeight="1" x14ac:dyDescent="0.35">
      <c r="A39" s="2" t="s">
        <v>2313</v>
      </c>
      <c r="B39" s="2"/>
      <c r="C39" s="2"/>
      <c r="D39" s="2"/>
      <c r="E39" s="2"/>
      <c r="F39" s="2"/>
      <c r="G39" s="2"/>
      <c r="H39" s="2"/>
      <c r="I39" s="2"/>
      <c r="J39" s="2"/>
      <c r="K39" s="2"/>
      <c r="L39" s="2"/>
      <c r="M39" s="2"/>
      <c r="N39" s="2"/>
      <c r="O39" s="2"/>
      <c r="P39" s="2"/>
      <c r="Q39" s="2"/>
      <c r="R39" s="2"/>
      <c r="S39" s="2"/>
      <c r="T39" s="2"/>
      <c r="U39" s="2"/>
      <c r="V39" s="2"/>
      <c r="W39" s="2"/>
      <c r="X39" s="2"/>
    </row>
    <row r="40" spans="1:24" ht="36" customHeight="1" x14ac:dyDescent="0.35">
      <c r="H40" s="29" t="s">
        <v>2314</v>
      </c>
      <c r="I40" s="181" t="s">
        <v>2315</v>
      </c>
      <c r="J40" s="181" t="s">
        <v>571</v>
      </c>
      <c r="K40" s="181" t="s">
        <v>571</v>
      </c>
      <c r="L40" s="181" t="s">
        <v>2316</v>
      </c>
      <c r="N40" s="20" t="s">
        <v>2317</v>
      </c>
      <c r="O40" s="15" t="s">
        <v>2318</v>
      </c>
      <c r="P40" s="20" t="s">
        <v>2319</v>
      </c>
      <c r="Q40" s="20" t="s">
        <v>2320</v>
      </c>
    </row>
    <row r="41" spans="1:24" ht="15.75" customHeight="1" x14ac:dyDescent="0.35">
      <c r="H41" s="29" t="s">
        <v>2321</v>
      </c>
      <c r="I41" s="181" t="s">
        <v>2322</v>
      </c>
      <c r="J41" s="181" t="s">
        <v>571</v>
      </c>
      <c r="K41" s="181" t="s">
        <v>571</v>
      </c>
      <c r="L41" s="181" t="s">
        <v>2323</v>
      </c>
      <c r="N41" s="5" t="s">
        <v>2324</v>
      </c>
      <c r="O41" s="5"/>
      <c r="P41" s="5"/>
      <c r="Q41" s="5"/>
    </row>
    <row r="42" spans="1:24" ht="15.75" customHeight="1" x14ac:dyDescent="0.35">
      <c r="H42" s="60" t="s">
        <v>2325</v>
      </c>
      <c r="I42" s="252" t="s">
        <v>2326</v>
      </c>
      <c r="J42" s="252" t="s">
        <v>571</v>
      </c>
      <c r="K42" s="252" t="s">
        <v>571</v>
      </c>
      <c r="L42" s="252" t="s">
        <v>2327</v>
      </c>
      <c r="N42" s="25" t="s">
        <v>2328</v>
      </c>
      <c r="O42" s="26">
        <v>500000</v>
      </c>
      <c r="P42" s="26">
        <v>500000</v>
      </c>
      <c r="Q42" s="28"/>
    </row>
    <row r="43" spans="1:24" ht="15.75" customHeight="1" x14ac:dyDescent="0.35">
      <c r="N43" s="25" t="s">
        <v>2329</v>
      </c>
      <c r="O43" s="26">
        <v>40000</v>
      </c>
      <c r="P43" s="26">
        <v>40000</v>
      </c>
      <c r="Q43" s="28"/>
    </row>
    <row r="44" spans="1:24" ht="15.75" customHeight="1" x14ac:dyDescent="0.35">
      <c r="N44" s="25" t="s">
        <v>2330</v>
      </c>
      <c r="O44" s="35">
        <v>0.08</v>
      </c>
      <c r="P44" s="35">
        <v>0.08</v>
      </c>
      <c r="Q44" s="28"/>
    </row>
    <row r="45" spans="1:24" ht="15.75" customHeight="1" x14ac:dyDescent="0.35">
      <c r="N45" s="25" t="s">
        <v>2331</v>
      </c>
      <c r="O45" s="35">
        <v>-0.25</v>
      </c>
      <c r="P45" s="35">
        <v>-0.25</v>
      </c>
      <c r="Q45" s="28"/>
    </row>
    <row r="46" spans="1:24" ht="15.75" customHeight="1" x14ac:dyDescent="0.35">
      <c r="N46" s="25" t="s">
        <v>2332</v>
      </c>
      <c r="O46" s="102">
        <v>2</v>
      </c>
      <c r="P46" s="102">
        <v>2</v>
      </c>
      <c r="Q46" s="28"/>
    </row>
    <row r="47" spans="1:24" ht="15.75" customHeight="1" x14ac:dyDescent="0.35">
      <c r="N47" s="25" t="s">
        <v>2333</v>
      </c>
      <c r="O47" s="102">
        <v>9</v>
      </c>
      <c r="P47" s="102">
        <v>9</v>
      </c>
      <c r="Q47" s="28"/>
    </row>
    <row r="48" spans="1:24" ht="3.75" customHeight="1"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row>
    <row r="49" spans="14:17" ht="15.75" customHeight="1" x14ac:dyDescent="0.35">
      <c r="N49" s="5" t="s">
        <v>2334</v>
      </c>
      <c r="O49" s="5"/>
      <c r="P49" s="5"/>
      <c r="Q49" s="5"/>
    </row>
    <row r="50" spans="14:17" ht="19.5" customHeight="1" x14ac:dyDescent="0.35">
      <c r="N50" s="187" t="s">
        <v>2335</v>
      </c>
      <c r="O50" s="186">
        <f>O42*(1+O44)^10*IF(O46&lt;=10,(1+O45)/(1+O44),1)</f>
        <v>749626.73516416235</v>
      </c>
      <c r="P50" s="186">
        <f>P42*(1+P44)^10*IF(P47&lt;=10,(1+P45)/(1+P44),1)</f>
        <v>749626.73516416235</v>
      </c>
      <c r="Q50" s="151"/>
    </row>
    <row r="51" spans="14:17" ht="19.5" customHeight="1" x14ac:dyDescent="0.35">
      <c r="N51" s="193" t="s">
        <v>2336</v>
      </c>
      <c r="O51" s="46">
        <f>O42*(1+O44)^10</f>
        <v>1079462.4986363938</v>
      </c>
      <c r="P51" s="46">
        <f>P42*(1+P44)^10*IF(P47&lt;=10,(1+P45)/(1+P44),1)</f>
        <v>749626.73516416235</v>
      </c>
      <c r="Q51" s="151"/>
    </row>
    <row r="52" spans="14:17" ht="19.5" customHeight="1" x14ac:dyDescent="0.35">
      <c r="N52" s="224" t="s">
        <v>2337</v>
      </c>
      <c r="O52" s="257">
        <f>IF(O43&gt;O50*O44,"Never runs out",IF(O50&lt;=0,0,LN(O43/MAX(0.001,O43-O50*O44))/LN(1+O44)))</f>
        <v>227.44481823103865</v>
      </c>
      <c r="P52" s="257">
        <f>IF(P43&gt;P51*P44,"Never runs out",IF(P51&lt;=0,0,LN(P43/MAX(0.001,P43-P51*P44))/LN(1+P44)))</f>
        <v>227.44481823103865</v>
      </c>
      <c r="Q52" s="140"/>
    </row>
    <row r="53" spans="14:17" ht="19.5" customHeight="1" x14ac:dyDescent="0.35">
      <c r="N53" s="23" t="s">
        <v>2338</v>
      </c>
      <c r="O53" s="140"/>
      <c r="P53" s="140"/>
      <c r="Q53" s="140"/>
    </row>
    <row r="54" spans="14:17" ht="19.5" customHeight="1" x14ac:dyDescent="0.35">
      <c r="N54" s="29" t="s">
        <v>2339</v>
      </c>
      <c r="O54" s="149" t="s">
        <v>2340</v>
      </c>
      <c r="P54" s="149" t="s">
        <v>2340</v>
      </c>
      <c r="Q54" s="148" t="s">
        <v>2341</v>
      </c>
    </row>
    <row r="55" spans="14:17" ht="19.5" customHeight="1" x14ac:dyDescent="0.35">
      <c r="N55" s="29" t="s">
        <v>2342</v>
      </c>
      <c r="O55" s="149" t="s">
        <v>2343</v>
      </c>
      <c r="P55" s="149" t="s">
        <v>2343</v>
      </c>
      <c r="Q55" s="148" t="s">
        <v>2341</v>
      </c>
    </row>
    <row r="56" spans="14:17" ht="19.5" customHeight="1" x14ac:dyDescent="0.35">
      <c r="N56" s="29" t="s">
        <v>2344</v>
      </c>
      <c r="O56" s="149" t="s">
        <v>2345</v>
      </c>
      <c r="P56" s="149" t="s">
        <v>2345</v>
      </c>
      <c r="Q56" s="148" t="s">
        <v>2341</v>
      </c>
    </row>
    <row r="57" spans="14:17" ht="19.5" customHeight="1" x14ac:dyDescent="0.35">
      <c r="N57" s="222" t="s">
        <v>2346</v>
      </c>
      <c r="O57" s="258" t="s">
        <v>2347</v>
      </c>
      <c r="P57" s="258" t="s">
        <v>2347</v>
      </c>
      <c r="Q57" s="151"/>
    </row>
  </sheetData>
  <mergeCells count="13">
    <mergeCell ref="N41:Q41"/>
    <mergeCell ref="N49:Q49"/>
    <mergeCell ref="A25:F25"/>
    <mergeCell ref="H26:L26"/>
    <mergeCell ref="B33:F33"/>
    <mergeCell ref="N37:Q37"/>
    <mergeCell ref="A39:X39"/>
    <mergeCell ref="A1:X1"/>
    <mergeCell ref="A2:X2"/>
    <mergeCell ref="A4:F4"/>
    <mergeCell ref="H4:L4"/>
    <mergeCell ref="N4:Q4"/>
    <mergeCell ref="R4:U4"/>
  </mergeCells>
  <pageMargins left="0.75" right="0.75" top="1" bottom="1" header="0.511811023622047" footer="0.511811023622047"/>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A8C6B"/>
  </sheetPr>
  <dimension ref="A1:X56"/>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defaultColWidth="8.6328125" defaultRowHeight="14.5" x14ac:dyDescent="0.35"/>
  <cols>
    <col min="1" max="1" width="2" customWidth="1"/>
    <col min="2" max="2" width="30" customWidth="1"/>
    <col min="3" max="6" width="14" customWidth="1"/>
    <col min="7" max="7" width="2" customWidth="1"/>
    <col min="8" max="8" width="30" customWidth="1"/>
    <col min="9" max="11" width="14" customWidth="1"/>
    <col min="12" max="12" width="2" customWidth="1"/>
    <col min="13" max="13" width="30" customWidth="1"/>
    <col min="14" max="15" width="14" customWidth="1"/>
    <col min="16" max="16" width="2" customWidth="1"/>
    <col min="17" max="17" width="30" customWidth="1"/>
    <col min="18" max="18" width="14" customWidth="1"/>
    <col min="19" max="19" width="2" customWidth="1"/>
    <col min="20" max="20" width="22" customWidth="1"/>
    <col min="21" max="24" width="2" customWidth="1"/>
  </cols>
  <sheetData>
    <row r="1" spans="1:24" ht="43.5" customHeight="1" x14ac:dyDescent="0.35">
      <c r="A1" s="9" t="s">
        <v>2348</v>
      </c>
      <c r="B1" s="9"/>
      <c r="C1" s="9"/>
      <c r="D1" s="9"/>
      <c r="E1" s="9"/>
      <c r="F1" s="9"/>
      <c r="G1" s="9"/>
      <c r="H1" s="9"/>
      <c r="I1" s="9"/>
      <c r="J1" s="9"/>
      <c r="K1" s="9"/>
      <c r="L1" s="9"/>
      <c r="M1" s="9"/>
      <c r="N1" s="9"/>
      <c r="O1" s="9"/>
      <c r="P1" s="9"/>
      <c r="Q1" s="9"/>
      <c r="R1" s="9"/>
      <c r="S1" s="9"/>
      <c r="T1" s="9"/>
      <c r="U1" s="9"/>
      <c r="V1" s="9"/>
      <c r="W1" s="9"/>
      <c r="X1" s="9"/>
    </row>
    <row r="2" spans="1:24" ht="18" customHeight="1" x14ac:dyDescent="0.35">
      <c r="A2" s="8" t="s">
        <v>2349</v>
      </c>
      <c r="B2" s="8"/>
      <c r="C2" s="8"/>
      <c r="D2" s="8"/>
      <c r="E2" s="8"/>
      <c r="F2" s="8"/>
      <c r="G2" s="8"/>
      <c r="H2" s="8"/>
      <c r="I2" s="8"/>
      <c r="J2" s="8"/>
      <c r="K2" s="8"/>
      <c r="L2" s="8"/>
      <c r="M2" s="8"/>
      <c r="N2" s="8"/>
      <c r="O2" s="8"/>
      <c r="P2" s="8"/>
      <c r="Q2" s="8"/>
      <c r="R2" s="8"/>
      <c r="S2" s="8"/>
      <c r="T2" s="8"/>
      <c r="U2" s="8"/>
      <c r="V2" s="8"/>
      <c r="W2" s="8"/>
      <c r="X2" s="8"/>
    </row>
    <row r="3" spans="1:24" ht="7.5" customHeight="1" x14ac:dyDescent="0.35">
      <c r="A3" s="19"/>
      <c r="B3" s="19"/>
      <c r="C3" s="19"/>
      <c r="D3" s="19"/>
      <c r="E3" s="19"/>
      <c r="F3" s="19"/>
      <c r="G3" s="19"/>
      <c r="H3" s="19"/>
      <c r="I3" s="19"/>
      <c r="J3" s="19"/>
      <c r="K3" s="19"/>
      <c r="L3" s="19"/>
      <c r="M3" s="19"/>
      <c r="N3" s="19"/>
      <c r="O3" s="19"/>
      <c r="P3" s="19"/>
      <c r="Q3" s="19"/>
      <c r="R3" s="19"/>
      <c r="S3" s="19"/>
      <c r="T3" s="19"/>
      <c r="U3" s="19"/>
      <c r="V3" s="19"/>
      <c r="W3" s="19"/>
      <c r="X3" s="19"/>
    </row>
    <row r="4" spans="1:24" ht="19.5" customHeight="1" x14ac:dyDescent="0.35">
      <c r="A4" s="12" t="s">
        <v>2350</v>
      </c>
      <c r="B4" s="12"/>
      <c r="C4" s="12"/>
      <c r="D4" s="12"/>
      <c r="E4" s="12"/>
      <c r="F4" s="12"/>
      <c r="H4" s="12" t="s">
        <v>2351</v>
      </c>
      <c r="I4" s="12"/>
      <c r="J4" s="12"/>
      <c r="K4" s="12"/>
      <c r="L4" s="12"/>
      <c r="M4" s="7" t="s">
        <v>2352</v>
      </c>
      <c r="N4" s="7"/>
      <c r="O4" s="7"/>
      <c r="Q4" s="12" t="s">
        <v>2353</v>
      </c>
      <c r="R4" s="12"/>
      <c r="S4" s="12"/>
      <c r="T4" s="12" t="s">
        <v>2354</v>
      </c>
      <c r="U4" s="12"/>
      <c r="V4" s="12"/>
      <c r="W4" s="12"/>
      <c r="X4" s="12"/>
    </row>
    <row r="5" spans="1:24" ht="36" customHeight="1" x14ac:dyDescent="0.35">
      <c r="B5" s="20" t="s">
        <v>2355</v>
      </c>
      <c r="C5" s="20" t="s">
        <v>2356</v>
      </c>
      <c r="D5" s="15" t="s">
        <v>2357</v>
      </c>
      <c r="E5" s="259" t="s">
        <v>2358</v>
      </c>
      <c r="F5" s="15" t="s">
        <v>2359</v>
      </c>
      <c r="H5" s="20" t="s">
        <v>2360</v>
      </c>
      <c r="I5" s="20" t="s">
        <v>2361</v>
      </c>
      <c r="J5" s="20" t="s">
        <v>2362</v>
      </c>
      <c r="K5" s="259" t="s">
        <v>2363</v>
      </c>
      <c r="L5" s="15" t="s">
        <v>2364</v>
      </c>
      <c r="M5" s="15" t="s">
        <v>527</v>
      </c>
      <c r="N5" s="15" t="s">
        <v>802</v>
      </c>
      <c r="O5" s="15" t="s">
        <v>2365</v>
      </c>
      <c r="Q5" s="20" t="s">
        <v>1712</v>
      </c>
      <c r="R5" s="20" t="s">
        <v>2366</v>
      </c>
      <c r="S5" s="15" t="s">
        <v>2367</v>
      </c>
    </row>
    <row r="6" spans="1:24" ht="15.75" customHeight="1" x14ac:dyDescent="0.35">
      <c r="B6" s="260" t="s">
        <v>2368</v>
      </c>
      <c r="C6" s="32"/>
      <c r="D6" s="261"/>
      <c r="E6" s="262"/>
      <c r="F6" s="141"/>
      <c r="H6" s="260" t="s">
        <v>2369</v>
      </c>
      <c r="I6" s="71"/>
      <c r="J6" s="71"/>
      <c r="K6" s="71"/>
      <c r="L6" s="179"/>
      <c r="M6" s="263" t="s">
        <v>2370</v>
      </c>
      <c r="N6" s="71"/>
      <c r="O6" s="71"/>
      <c r="Q6" s="25" t="s">
        <v>2371</v>
      </c>
      <c r="R6" s="77">
        <v>25</v>
      </c>
      <c r="S6" s="77">
        <v>25</v>
      </c>
      <c r="T6" s="335" t="s">
        <v>1826</v>
      </c>
      <c r="U6" s="335"/>
      <c r="V6" s="335"/>
      <c r="W6" s="335"/>
      <c r="X6" s="335"/>
    </row>
    <row r="7" spans="1:24" ht="15.75" customHeight="1" x14ac:dyDescent="0.35">
      <c r="B7" s="29" t="s">
        <v>2372</v>
      </c>
      <c r="C7" s="264" t="s">
        <v>2373</v>
      </c>
      <c r="D7" s="265" t="s">
        <v>2374</v>
      </c>
      <c r="E7" s="266" t="s">
        <v>2375</v>
      </c>
      <c r="F7" s="148" t="s">
        <v>2376</v>
      </c>
      <c r="H7" s="29" t="s">
        <v>2377</v>
      </c>
      <c r="I7" s="72" t="s">
        <v>2378</v>
      </c>
      <c r="J7" s="73" t="s">
        <v>2379</v>
      </c>
      <c r="K7" s="164" t="s">
        <v>2380</v>
      </c>
      <c r="L7" s="267" t="s">
        <v>2381</v>
      </c>
      <c r="M7" s="69" t="s">
        <v>2382</v>
      </c>
      <c r="N7" s="73" t="s">
        <v>2383</v>
      </c>
      <c r="O7" s="73" t="s">
        <v>2384</v>
      </c>
      <c r="Q7" s="25" t="s">
        <v>48</v>
      </c>
      <c r="R7" s="26">
        <v>5000</v>
      </c>
      <c r="S7" s="26">
        <v>5000</v>
      </c>
      <c r="T7" s="328" t="s">
        <v>2385</v>
      </c>
      <c r="U7" s="328"/>
      <c r="V7" s="328"/>
      <c r="W7" s="328"/>
      <c r="X7" s="328"/>
    </row>
    <row r="8" spans="1:24" ht="15.75" customHeight="1" x14ac:dyDescent="0.35">
      <c r="B8" s="60" t="s">
        <v>2386</v>
      </c>
      <c r="C8" s="264" t="s">
        <v>2387</v>
      </c>
      <c r="D8" s="268" t="s">
        <v>2388</v>
      </c>
      <c r="E8" s="269" t="s">
        <v>2389</v>
      </c>
      <c r="F8" s="74" t="s">
        <v>2390</v>
      </c>
      <c r="H8" s="29" t="s">
        <v>2391</v>
      </c>
      <c r="I8" s="72" t="s">
        <v>2392</v>
      </c>
      <c r="J8" s="73" t="s">
        <v>2393</v>
      </c>
      <c r="K8" s="164" t="s">
        <v>2394</v>
      </c>
      <c r="L8" s="267" t="s">
        <v>2395</v>
      </c>
      <c r="M8" s="29" t="s">
        <v>2396</v>
      </c>
      <c r="N8" s="72" t="s">
        <v>2397</v>
      </c>
      <c r="O8" s="164" t="s">
        <v>2398</v>
      </c>
      <c r="Q8" s="25" t="s">
        <v>2399</v>
      </c>
      <c r="R8" s="26">
        <v>72000</v>
      </c>
      <c r="S8" s="26">
        <v>85000</v>
      </c>
      <c r="T8" s="328" t="s">
        <v>2400</v>
      </c>
      <c r="U8" s="328"/>
      <c r="V8" s="328"/>
      <c r="W8" s="328"/>
      <c r="X8" s="328"/>
    </row>
    <row r="9" spans="1:24" ht="15.75" customHeight="1" x14ac:dyDescent="0.35">
      <c r="B9" s="29" t="s">
        <v>2401</v>
      </c>
      <c r="C9" s="264" t="s">
        <v>2402</v>
      </c>
      <c r="D9" s="265" t="s">
        <v>2403</v>
      </c>
      <c r="E9" s="266" t="s">
        <v>2404</v>
      </c>
      <c r="F9" s="148" t="s">
        <v>2405</v>
      </c>
      <c r="H9" s="60" t="s">
        <v>2406</v>
      </c>
      <c r="I9" s="73" t="s">
        <v>2407</v>
      </c>
      <c r="J9" s="73" t="s">
        <v>2408</v>
      </c>
      <c r="K9" s="170" t="s">
        <v>2409</v>
      </c>
      <c r="L9" s="204" t="s">
        <v>2410</v>
      </c>
      <c r="M9" s="263" t="s">
        <v>2411</v>
      </c>
      <c r="N9" s="71"/>
      <c r="O9" s="71"/>
      <c r="Q9" s="25" t="s">
        <v>2412</v>
      </c>
      <c r="R9" s="35">
        <v>0.03</v>
      </c>
      <c r="S9" s="35">
        <v>3.7999999999999999E-2</v>
      </c>
      <c r="T9" s="328" t="s">
        <v>2413</v>
      </c>
      <c r="U9" s="328"/>
      <c r="V9" s="328"/>
      <c r="W9" s="328"/>
      <c r="X9" s="328"/>
    </row>
    <row r="10" spans="1:24" ht="15.75" customHeight="1" x14ac:dyDescent="0.35">
      <c r="B10" s="29" t="s">
        <v>2414</v>
      </c>
      <c r="C10" s="264" t="s">
        <v>2415</v>
      </c>
      <c r="D10" s="265" t="s">
        <v>2416</v>
      </c>
      <c r="E10" s="266" t="s">
        <v>2417</v>
      </c>
      <c r="F10" s="148" t="s">
        <v>2418</v>
      </c>
      <c r="H10" s="60" t="s">
        <v>2419</v>
      </c>
      <c r="I10" s="73" t="s">
        <v>2420</v>
      </c>
      <c r="J10" s="73" t="s">
        <v>2421</v>
      </c>
      <c r="K10" s="170" t="s">
        <v>2422</v>
      </c>
      <c r="L10" s="204" t="s">
        <v>2423</v>
      </c>
      <c r="M10" s="29" t="s">
        <v>2424</v>
      </c>
      <c r="N10" s="72" t="s">
        <v>2425</v>
      </c>
      <c r="O10" s="164" t="s">
        <v>2426</v>
      </c>
      <c r="Q10" s="25" t="s">
        <v>2427</v>
      </c>
      <c r="R10" s="77">
        <v>7</v>
      </c>
      <c r="S10" s="77">
        <v>37</v>
      </c>
      <c r="T10" s="328" t="s">
        <v>2428</v>
      </c>
      <c r="U10" s="328"/>
      <c r="V10" s="328"/>
      <c r="W10" s="328"/>
      <c r="X10" s="328"/>
    </row>
    <row r="11" spans="1:24" ht="15.75" customHeight="1" x14ac:dyDescent="0.35">
      <c r="B11" s="260" t="s">
        <v>2429</v>
      </c>
      <c r="C11" s="32"/>
      <c r="D11" s="261"/>
      <c r="E11" s="262"/>
      <c r="F11" s="141"/>
      <c r="H11" s="260" t="s">
        <v>2430</v>
      </c>
      <c r="I11" s="71"/>
      <c r="J11" s="71"/>
      <c r="K11" s="71"/>
      <c r="L11" s="179"/>
      <c r="M11" s="29" t="s">
        <v>2431</v>
      </c>
      <c r="N11" s="72" t="s">
        <v>2432</v>
      </c>
      <c r="O11" s="164" t="s">
        <v>2433</v>
      </c>
      <c r="Q11" s="25" t="s">
        <v>2434</v>
      </c>
      <c r="R11" s="77">
        <v>4</v>
      </c>
      <c r="S11" s="77">
        <v>0</v>
      </c>
      <c r="T11" s="328"/>
      <c r="U11" s="328"/>
      <c r="V11" s="328"/>
      <c r="W11" s="328"/>
      <c r="X11" s="328"/>
    </row>
    <row r="12" spans="1:24" ht="15.75" customHeight="1" x14ac:dyDescent="0.35">
      <c r="B12" s="29" t="s">
        <v>2435</v>
      </c>
      <c r="C12" s="264" t="s">
        <v>2436</v>
      </c>
      <c r="D12" s="265" t="s">
        <v>2437</v>
      </c>
      <c r="E12" s="266" t="s">
        <v>2438</v>
      </c>
      <c r="F12" s="148" t="s">
        <v>2439</v>
      </c>
      <c r="H12" s="29" t="s">
        <v>2440</v>
      </c>
      <c r="I12" s="72" t="s">
        <v>2441</v>
      </c>
      <c r="J12" s="73" t="s">
        <v>2442</v>
      </c>
      <c r="K12" s="164" t="s">
        <v>2443</v>
      </c>
      <c r="L12" s="267" t="s">
        <v>2444</v>
      </c>
      <c r="M12" s="69" t="s">
        <v>2445</v>
      </c>
      <c r="N12" s="73" t="s">
        <v>2446</v>
      </c>
      <c r="O12" s="73" t="s">
        <v>2447</v>
      </c>
      <c r="Q12" s="25" t="s">
        <v>2448</v>
      </c>
      <c r="R12" s="77">
        <v>6</v>
      </c>
      <c r="S12" s="77">
        <v>0</v>
      </c>
      <c r="T12" s="335" t="s">
        <v>2449</v>
      </c>
      <c r="U12" s="335"/>
      <c r="V12" s="335"/>
      <c r="W12" s="335"/>
      <c r="X12" s="335"/>
    </row>
    <row r="13" spans="1:24" ht="15.75" customHeight="1" x14ac:dyDescent="0.35">
      <c r="B13" s="60" t="s">
        <v>2450</v>
      </c>
      <c r="C13" s="264" t="s">
        <v>2451</v>
      </c>
      <c r="D13" s="268" t="s">
        <v>2452</v>
      </c>
      <c r="E13" s="269" t="s">
        <v>2453</v>
      </c>
      <c r="F13" s="74" t="s">
        <v>2454</v>
      </c>
      <c r="H13" s="29" t="s">
        <v>2455</v>
      </c>
      <c r="I13" s="72" t="s">
        <v>2456</v>
      </c>
      <c r="J13" s="73" t="s">
        <v>2457</v>
      </c>
      <c r="K13" s="164" t="s">
        <v>2458</v>
      </c>
      <c r="L13" s="267" t="s">
        <v>2459</v>
      </c>
      <c r="M13" s="29" t="s">
        <v>2460</v>
      </c>
      <c r="N13" s="72" t="s">
        <v>2461</v>
      </c>
      <c r="O13" s="164" t="s">
        <v>2462</v>
      </c>
      <c r="Q13" s="25" t="s">
        <v>2463</v>
      </c>
      <c r="R13" s="35">
        <v>0.6</v>
      </c>
      <c r="S13" s="35">
        <v>1</v>
      </c>
      <c r="T13" s="328" t="s">
        <v>2464</v>
      </c>
      <c r="U13" s="328"/>
      <c r="V13" s="328"/>
      <c r="W13" s="328"/>
      <c r="X13" s="328"/>
    </row>
    <row r="14" spans="1:24" ht="15.75" customHeight="1" x14ac:dyDescent="0.35">
      <c r="B14" s="60" t="s">
        <v>2465</v>
      </c>
      <c r="C14" s="264" t="s">
        <v>2466</v>
      </c>
      <c r="D14" s="268" t="s">
        <v>2467</v>
      </c>
      <c r="E14" s="269" t="s">
        <v>2468</v>
      </c>
      <c r="F14" s="74" t="s">
        <v>2469</v>
      </c>
      <c r="H14" s="29" t="s">
        <v>2470</v>
      </c>
      <c r="I14" s="72" t="s">
        <v>2471</v>
      </c>
      <c r="J14" s="73" t="s">
        <v>2472</v>
      </c>
      <c r="K14" s="164" t="s">
        <v>2473</v>
      </c>
      <c r="L14" s="267" t="s">
        <v>2474</v>
      </c>
      <c r="M14" s="29" t="s">
        <v>2475</v>
      </c>
      <c r="N14" s="72" t="s">
        <v>2476</v>
      </c>
      <c r="O14" s="164" t="s">
        <v>2477</v>
      </c>
      <c r="Q14" s="25" t="s">
        <v>2478</v>
      </c>
      <c r="R14" s="35">
        <v>0.12</v>
      </c>
      <c r="S14" s="35">
        <v>0.12</v>
      </c>
      <c r="T14" s="328" t="s">
        <v>2479</v>
      </c>
      <c r="U14" s="328"/>
      <c r="V14" s="328"/>
      <c r="W14" s="328"/>
      <c r="X14" s="328"/>
    </row>
    <row r="15" spans="1:24" ht="15.75" customHeight="1" x14ac:dyDescent="0.35">
      <c r="B15" s="260" t="s">
        <v>2480</v>
      </c>
      <c r="C15" s="32"/>
      <c r="D15" s="261"/>
      <c r="E15" s="262"/>
      <c r="F15" s="141"/>
      <c r="H15" s="60" t="s">
        <v>2481</v>
      </c>
      <c r="I15" s="73" t="s">
        <v>2482</v>
      </c>
      <c r="J15" s="73" t="s">
        <v>2483</v>
      </c>
      <c r="K15" s="170" t="s">
        <v>2484</v>
      </c>
      <c r="L15" s="204" t="s">
        <v>2485</v>
      </c>
      <c r="M15" s="29" t="s">
        <v>2486</v>
      </c>
      <c r="N15" s="72" t="s">
        <v>2487</v>
      </c>
      <c r="O15" s="164" t="s">
        <v>2488</v>
      </c>
      <c r="Q15" s="25" t="s">
        <v>2489</v>
      </c>
      <c r="R15" s="35">
        <v>7.4999999999999997E-2</v>
      </c>
      <c r="S15" s="35">
        <v>7.4999999999999997E-2</v>
      </c>
      <c r="T15" s="328" t="s">
        <v>2490</v>
      </c>
      <c r="U15" s="328"/>
      <c r="V15" s="328"/>
      <c r="W15" s="328"/>
      <c r="X15" s="328"/>
    </row>
    <row r="16" spans="1:24" ht="15.75" customHeight="1" x14ac:dyDescent="0.35">
      <c r="B16" s="29" t="s">
        <v>2491</v>
      </c>
      <c r="C16" s="264" t="s">
        <v>2492</v>
      </c>
      <c r="D16" s="265" t="s">
        <v>2493</v>
      </c>
      <c r="E16" s="266" t="s">
        <v>2494</v>
      </c>
      <c r="F16" s="148" t="s">
        <v>2495</v>
      </c>
      <c r="M16" s="263" t="s">
        <v>2496</v>
      </c>
      <c r="N16" s="71"/>
      <c r="O16" s="71"/>
      <c r="Q16" s="25" t="s">
        <v>2497</v>
      </c>
      <c r="R16" s="26">
        <v>500</v>
      </c>
      <c r="S16" s="26">
        <v>2000</v>
      </c>
      <c r="T16" s="328" t="s">
        <v>2498</v>
      </c>
      <c r="U16" s="328"/>
      <c r="V16" s="328"/>
      <c r="W16" s="328"/>
      <c r="X16" s="328"/>
    </row>
    <row r="17" spans="1:24" ht="15.75" customHeight="1" x14ac:dyDescent="0.35">
      <c r="A17" s="19"/>
      <c r="B17" s="173" t="s">
        <v>2499</v>
      </c>
      <c r="C17" s="270" t="s">
        <v>2500</v>
      </c>
      <c r="D17" s="271" t="s">
        <v>2501</v>
      </c>
      <c r="E17" s="272" t="s">
        <v>2502</v>
      </c>
      <c r="F17" s="143" t="s">
        <v>2503</v>
      </c>
      <c r="G17" s="19"/>
      <c r="H17" s="19"/>
      <c r="I17" s="19"/>
      <c r="J17" s="19"/>
      <c r="K17" s="19"/>
      <c r="L17" s="19"/>
      <c r="M17" s="29" t="s">
        <v>2504</v>
      </c>
      <c r="N17" s="72" t="s">
        <v>2505</v>
      </c>
      <c r="O17" s="164" t="s">
        <v>2506</v>
      </c>
      <c r="P17" s="19"/>
      <c r="Q17" s="25" t="s">
        <v>2507</v>
      </c>
      <c r="R17" s="77">
        <v>67</v>
      </c>
      <c r="S17" s="77">
        <v>67</v>
      </c>
      <c r="T17" s="328"/>
      <c r="U17" s="328"/>
      <c r="V17" s="328"/>
      <c r="W17" s="328"/>
      <c r="X17" s="328"/>
    </row>
    <row r="18" spans="1:24" ht="15.75" customHeight="1" x14ac:dyDescent="0.35">
      <c r="A18" s="19"/>
      <c r="B18" s="45" t="s">
        <v>2508</v>
      </c>
      <c r="C18" s="270" t="s">
        <v>2509</v>
      </c>
      <c r="D18" s="271" t="s">
        <v>2510</v>
      </c>
      <c r="E18" s="272" t="s">
        <v>2511</v>
      </c>
      <c r="F18" s="143" t="s">
        <v>2512</v>
      </c>
      <c r="G18" s="19"/>
      <c r="H18" s="334" t="s">
        <v>2513</v>
      </c>
      <c r="I18" s="334"/>
      <c r="J18" s="334"/>
      <c r="K18" s="334"/>
      <c r="L18" s="334"/>
      <c r="M18" s="173" t="s">
        <v>2514</v>
      </c>
      <c r="N18" s="128" t="s">
        <v>2515</v>
      </c>
      <c r="O18" s="273" t="s">
        <v>2516</v>
      </c>
      <c r="P18" s="19"/>
      <c r="Q18" s="19"/>
      <c r="R18" s="19"/>
      <c r="S18" s="19"/>
      <c r="T18" s="335" t="s">
        <v>2517</v>
      </c>
      <c r="U18" s="335"/>
      <c r="V18" s="335"/>
      <c r="W18" s="335"/>
      <c r="X18" s="335"/>
    </row>
    <row r="19" spans="1:24" ht="15.75" customHeight="1" x14ac:dyDescent="0.35">
      <c r="B19" s="29" t="s">
        <v>2518</v>
      </c>
      <c r="C19" s="264" t="s">
        <v>2519</v>
      </c>
      <c r="D19" s="265" t="s">
        <v>2520</v>
      </c>
      <c r="E19" s="266" t="s">
        <v>2521</v>
      </c>
      <c r="F19" s="148" t="s">
        <v>2522</v>
      </c>
      <c r="H19" s="274" t="s">
        <v>2523</v>
      </c>
      <c r="I19" s="227" t="s">
        <v>2524</v>
      </c>
      <c r="J19" s="15" t="s">
        <v>2525</v>
      </c>
      <c r="K19" s="274" t="s">
        <v>2526</v>
      </c>
      <c r="L19" s="15" t="s">
        <v>2527</v>
      </c>
      <c r="M19" s="29" t="s">
        <v>2528</v>
      </c>
      <c r="N19" s="72" t="s">
        <v>2529</v>
      </c>
      <c r="O19" s="164" t="s">
        <v>2530</v>
      </c>
      <c r="Q19" s="5" t="s">
        <v>2531</v>
      </c>
      <c r="R19" s="5"/>
      <c r="S19" s="5"/>
      <c r="T19" s="328" t="s">
        <v>2532</v>
      </c>
      <c r="U19" s="328"/>
      <c r="V19" s="328"/>
      <c r="W19" s="328"/>
      <c r="X19" s="328"/>
    </row>
    <row r="20" spans="1:24" ht="15.75" customHeight="1" x14ac:dyDescent="0.35">
      <c r="B20" s="260" t="s">
        <v>2533</v>
      </c>
      <c r="C20" s="32"/>
      <c r="D20" s="261"/>
      <c r="E20" s="262"/>
      <c r="F20" s="141"/>
      <c r="H20" s="275" t="s">
        <v>654</v>
      </c>
      <c r="I20" s="71"/>
      <c r="J20" s="71"/>
      <c r="K20" s="141"/>
      <c r="L20" s="141"/>
      <c r="Q20" s="29" t="s">
        <v>2534</v>
      </c>
      <c r="R20" s="276">
        <f>R10+R12</f>
        <v>13</v>
      </c>
      <c r="S20" s="277">
        <f>S10+S12</f>
        <v>37</v>
      </c>
      <c r="T20" s="328" t="s">
        <v>2535</v>
      </c>
      <c r="U20" s="328"/>
      <c r="V20" s="328"/>
      <c r="W20" s="328"/>
      <c r="X20" s="328"/>
    </row>
    <row r="21" spans="1:24" ht="15.75" customHeight="1" x14ac:dyDescent="0.35">
      <c r="B21" s="60" t="s">
        <v>2536</v>
      </c>
      <c r="C21" s="264" t="s">
        <v>2537</v>
      </c>
      <c r="D21" s="268" t="s">
        <v>2538</v>
      </c>
      <c r="E21" s="269" t="s">
        <v>2539</v>
      </c>
      <c r="F21" s="74" t="s">
        <v>2540</v>
      </c>
      <c r="H21" s="29" t="s">
        <v>2541</v>
      </c>
      <c r="I21" s="73" t="s">
        <v>2542</v>
      </c>
      <c r="J21" s="73" t="s">
        <v>2543</v>
      </c>
      <c r="K21" s="148" t="s">
        <v>125</v>
      </c>
      <c r="L21" s="148" t="s">
        <v>2544</v>
      </c>
      <c r="Q21" s="187" t="s">
        <v>2545</v>
      </c>
      <c r="R21" s="186">
        <f>((R7*(1+R15)^R10+(R8*R14+R16)*((1+R15)^R10-1)/R15)*(1+R15)^R11+R8*R13*R14*((1+R15)^R12-1)/R15)*(1+R15)^(67-R6-R10-R11-R12)</f>
        <v>950674.72590839653</v>
      </c>
      <c r="S21" s="186">
        <f>((S7*(1+S15)^S10+(S8*S14+S16)*((1+S15)^S10-1)/S15)*(1+S15)^S11+S8*S13*S14*((1+S15)^S12-1)/S15)*(1+S15)^(67-S6-S10-S11-S12)</f>
        <v>3262718.9465152123</v>
      </c>
      <c r="T21" s="328" t="s">
        <v>2546</v>
      </c>
      <c r="U21" s="328"/>
      <c r="V21" s="328"/>
      <c r="W21" s="328"/>
      <c r="X21" s="328"/>
    </row>
    <row r="22" spans="1:24" ht="15.75" customHeight="1" x14ac:dyDescent="0.35">
      <c r="B22" s="60" t="s">
        <v>2547</v>
      </c>
      <c r="C22" s="264" t="s">
        <v>2548</v>
      </c>
      <c r="D22" s="268" t="s">
        <v>2549</v>
      </c>
      <c r="E22" s="269" t="s">
        <v>2550</v>
      </c>
      <c r="F22" s="74" t="s">
        <v>2551</v>
      </c>
      <c r="H22" s="29" t="s">
        <v>2552</v>
      </c>
      <c r="I22" s="73" t="s">
        <v>2553</v>
      </c>
      <c r="J22" s="73" t="s">
        <v>2554</v>
      </c>
      <c r="K22" s="148" t="s">
        <v>125</v>
      </c>
      <c r="L22" s="148" t="s">
        <v>2555</v>
      </c>
      <c r="Q22" s="193" t="s">
        <v>2556</v>
      </c>
      <c r="R22" s="46" t="s">
        <v>2557</v>
      </c>
      <c r="S22" s="46">
        <f>S21-R21</f>
        <v>2312044.220606816</v>
      </c>
      <c r="T22" s="328"/>
      <c r="U22" s="328"/>
      <c r="V22" s="328"/>
      <c r="W22" s="328"/>
      <c r="X22" s="328"/>
    </row>
    <row r="23" spans="1:24" ht="15.75" customHeight="1" x14ac:dyDescent="0.35">
      <c r="B23" s="29" t="s">
        <v>2558</v>
      </c>
      <c r="C23" s="264" t="s">
        <v>2559</v>
      </c>
      <c r="D23" s="265" t="s">
        <v>2560</v>
      </c>
      <c r="E23" s="266" t="s">
        <v>2561</v>
      </c>
      <c r="F23" s="148" t="s">
        <v>2562</v>
      </c>
      <c r="H23" s="29" t="s">
        <v>2563</v>
      </c>
      <c r="I23" s="73" t="s">
        <v>125</v>
      </c>
      <c r="J23" s="73" t="s">
        <v>2564</v>
      </c>
      <c r="K23" s="148" t="s">
        <v>125</v>
      </c>
      <c r="L23" s="148" t="s">
        <v>2565</v>
      </c>
      <c r="Q23" s="60" t="s">
        <v>2566</v>
      </c>
      <c r="R23" s="278" t="s">
        <v>2557</v>
      </c>
      <c r="S23" s="278">
        <f>IF(S21&gt;0,(S21-R21)/S21,0)</f>
        <v>0.70862500218605218</v>
      </c>
      <c r="T23" s="335" t="s">
        <v>2567</v>
      </c>
      <c r="U23" s="335"/>
      <c r="V23" s="335"/>
      <c r="W23" s="335"/>
      <c r="X23" s="335"/>
    </row>
    <row r="24" spans="1:24" ht="15.75" customHeight="1" x14ac:dyDescent="0.35">
      <c r="H24" s="29" t="s">
        <v>2568</v>
      </c>
      <c r="I24" s="73" t="s">
        <v>2569</v>
      </c>
      <c r="J24" s="73" t="s">
        <v>2570</v>
      </c>
      <c r="K24" s="148" t="s">
        <v>125</v>
      </c>
      <c r="L24" s="148" t="s">
        <v>2571</v>
      </c>
      <c r="Q24" s="29" t="s">
        <v>2572</v>
      </c>
      <c r="R24" s="53">
        <f>R21*0.05</f>
        <v>47533.736295419832</v>
      </c>
      <c r="S24" s="175">
        <f>S21*0.05</f>
        <v>163135.94732576062</v>
      </c>
      <c r="T24" s="328" t="s">
        <v>2573</v>
      </c>
      <c r="U24" s="328"/>
      <c r="V24" s="328"/>
      <c r="W24" s="328"/>
      <c r="X24" s="328"/>
    </row>
    <row r="25" spans="1:24" ht="15.75" customHeight="1" x14ac:dyDescent="0.35">
      <c r="A25" s="19"/>
      <c r="B25" s="19"/>
      <c r="C25" s="19"/>
      <c r="D25" s="19"/>
      <c r="E25" s="19"/>
      <c r="F25" s="19"/>
      <c r="G25" s="19"/>
      <c r="H25" s="275" t="s">
        <v>2574</v>
      </c>
      <c r="I25" s="71"/>
      <c r="J25" s="71"/>
      <c r="K25" s="141"/>
      <c r="L25" s="141"/>
      <c r="M25" s="19"/>
      <c r="N25" s="19"/>
      <c r="O25" s="19"/>
      <c r="P25" s="19"/>
      <c r="Q25" s="60" t="s">
        <v>2575</v>
      </c>
      <c r="R25" s="220" t="s">
        <v>2557</v>
      </c>
      <c r="S25" s="220">
        <f>S24-R24</f>
        <v>115602.21103034078</v>
      </c>
      <c r="T25" s="328" t="s">
        <v>2576</v>
      </c>
      <c r="U25" s="328"/>
      <c r="V25" s="328"/>
      <c r="W25" s="328"/>
      <c r="X25" s="328"/>
    </row>
    <row r="26" spans="1:24" ht="15.75" customHeight="1" x14ac:dyDescent="0.35">
      <c r="A26" s="12" t="s">
        <v>2577</v>
      </c>
      <c r="B26" s="12"/>
      <c r="C26" s="12"/>
      <c r="D26" s="12"/>
      <c r="E26" s="12"/>
      <c r="F26" s="12"/>
      <c r="H26" s="25" t="s">
        <v>2578</v>
      </c>
      <c r="I26" s="28"/>
      <c r="J26" s="28"/>
      <c r="K26" s="26">
        <v>915</v>
      </c>
      <c r="L26" s="28"/>
      <c r="Q26" s="224" t="s">
        <v>2579</v>
      </c>
      <c r="R26" s="279">
        <f>IF(R24&lt;28514,MAX(0,(28514-R24)/28514*10),0)</f>
        <v>0</v>
      </c>
      <c r="S26" s="279" t="s">
        <v>2557</v>
      </c>
      <c r="T26" s="328" t="s">
        <v>2580</v>
      </c>
      <c r="U26" s="328"/>
      <c r="V26" s="328"/>
      <c r="W26" s="328"/>
      <c r="X26" s="328"/>
    </row>
    <row r="27" spans="1:24" ht="15.75" customHeight="1" x14ac:dyDescent="0.35">
      <c r="B27" s="20" t="s">
        <v>1712</v>
      </c>
      <c r="C27" s="15" t="s">
        <v>2581</v>
      </c>
      <c r="D27" s="20" t="s">
        <v>2582</v>
      </c>
      <c r="E27" s="259" t="s">
        <v>2583</v>
      </c>
      <c r="F27" s="21" t="s">
        <v>2584</v>
      </c>
      <c r="H27" s="25" t="s">
        <v>2585</v>
      </c>
      <c r="I27" s="28"/>
      <c r="J27" s="28"/>
      <c r="K27" s="280">
        <v>18</v>
      </c>
      <c r="L27" s="28"/>
      <c r="T27" s="328"/>
      <c r="U27" s="328"/>
      <c r="V27" s="328"/>
      <c r="W27" s="328"/>
      <c r="X27" s="328"/>
    </row>
    <row r="28" spans="1:24" ht="15.75" customHeight="1" x14ac:dyDescent="0.35">
      <c r="B28" s="25" t="s">
        <v>2586</v>
      </c>
      <c r="C28" s="77">
        <v>30</v>
      </c>
      <c r="D28" s="77">
        <v>30</v>
      </c>
      <c r="E28" s="28"/>
      <c r="F28" s="28"/>
      <c r="H28" s="25" t="s">
        <v>2587</v>
      </c>
      <c r="I28" s="28"/>
      <c r="J28" s="28"/>
      <c r="K28" s="35">
        <v>0.12</v>
      </c>
      <c r="L28" s="28"/>
      <c r="T28" s="335" t="s">
        <v>2588</v>
      </c>
      <c r="U28" s="335"/>
      <c r="V28" s="335"/>
      <c r="W28" s="335"/>
      <c r="X28" s="335"/>
    </row>
    <row r="29" spans="1:24" ht="15.75" customHeight="1" x14ac:dyDescent="0.35">
      <c r="B29" s="25" t="s">
        <v>2589</v>
      </c>
      <c r="C29" s="26">
        <v>85000</v>
      </c>
      <c r="D29" s="26">
        <v>85000</v>
      </c>
      <c r="E29" s="28"/>
      <c r="F29" s="28"/>
      <c r="H29" s="25" t="s">
        <v>2590</v>
      </c>
      <c r="I29" s="28"/>
      <c r="J29" s="28"/>
      <c r="K29" s="102">
        <v>2</v>
      </c>
      <c r="L29" s="28"/>
      <c r="T29" s="328" t="s">
        <v>2591</v>
      </c>
      <c r="U29" s="328"/>
      <c r="V29" s="328"/>
      <c r="W29" s="328"/>
      <c r="X29" s="328"/>
    </row>
    <row r="30" spans="1:24" ht="15.75" customHeight="1" x14ac:dyDescent="0.35">
      <c r="B30" s="25" t="s">
        <v>2592</v>
      </c>
      <c r="C30" s="77">
        <v>0</v>
      </c>
      <c r="D30" s="77">
        <v>4</v>
      </c>
      <c r="E30" s="28"/>
      <c r="F30" s="28"/>
      <c r="H30" s="25" t="s">
        <v>2593</v>
      </c>
      <c r="I30" s="28"/>
      <c r="J30" s="28"/>
      <c r="K30" s="77">
        <v>30</v>
      </c>
      <c r="L30" s="28"/>
      <c r="T30" s="328" t="s">
        <v>2594</v>
      </c>
      <c r="U30" s="328"/>
      <c r="V30" s="328"/>
      <c r="W30" s="328"/>
      <c r="X30" s="328"/>
    </row>
    <row r="31" spans="1:24" ht="15.75" customHeight="1" x14ac:dyDescent="0.35">
      <c r="B31" s="25" t="s">
        <v>2595</v>
      </c>
      <c r="C31" s="77">
        <v>32</v>
      </c>
      <c r="D31" s="77">
        <v>32</v>
      </c>
      <c r="E31" s="28"/>
      <c r="F31" s="28"/>
      <c r="H31" s="25" t="s">
        <v>2489</v>
      </c>
      <c r="I31" s="28"/>
      <c r="J31" s="28"/>
      <c r="K31" s="35">
        <v>7.4999999999999997E-2</v>
      </c>
      <c r="L31" s="28"/>
      <c r="T31" s="328" t="s">
        <v>2596</v>
      </c>
      <c r="U31" s="328"/>
      <c r="V31" s="328"/>
      <c r="W31" s="328"/>
      <c r="X31" s="328"/>
    </row>
    <row r="32" spans="1:24" ht="15.75" customHeight="1" x14ac:dyDescent="0.35">
      <c r="A32" s="19"/>
      <c r="B32" s="40" t="s">
        <v>2478</v>
      </c>
      <c r="C32" s="43">
        <v>0.12</v>
      </c>
      <c r="D32" s="43">
        <v>0.12</v>
      </c>
      <c r="E32" s="44"/>
      <c r="F32" s="44"/>
      <c r="G32" s="19"/>
      <c r="H32" s="19"/>
      <c r="I32" s="19"/>
      <c r="J32" s="19"/>
      <c r="K32" s="19"/>
      <c r="L32" s="19"/>
      <c r="M32" s="19"/>
      <c r="N32" s="19"/>
      <c r="O32" s="19"/>
      <c r="P32" s="19"/>
      <c r="Q32" s="19"/>
      <c r="R32" s="19"/>
      <c r="S32" s="19"/>
      <c r="T32" s="328" t="s">
        <v>2597</v>
      </c>
      <c r="U32" s="328"/>
      <c r="V32" s="328"/>
      <c r="W32" s="328"/>
      <c r="X32" s="328"/>
    </row>
    <row r="33" spans="1:24" ht="15.75" customHeight="1" x14ac:dyDescent="0.35">
      <c r="B33" s="25" t="s">
        <v>708</v>
      </c>
      <c r="C33" s="35">
        <v>7.4999999999999997E-2</v>
      </c>
      <c r="D33" s="35">
        <v>7.4999999999999997E-2</v>
      </c>
      <c r="E33" s="28"/>
      <c r="F33" s="28"/>
      <c r="H33" s="5" t="s">
        <v>2598</v>
      </c>
      <c r="I33" s="5"/>
      <c r="J33" s="5"/>
      <c r="K33" s="5"/>
      <c r="L33" s="5"/>
      <c r="T33" s="328" t="s">
        <v>2599</v>
      </c>
      <c r="U33" s="328"/>
      <c r="V33" s="328"/>
      <c r="W33" s="328"/>
      <c r="X33" s="328"/>
    </row>
    <row r="34" spans="1:24" ht="15.75" customHeight="1" x14ac:dyDescent="0.35">
      <c r="B34" s="25" t="s">
        <v>2600</v>
      </c>
      <c r="C34" s="77">
        <v>37</v>
      </c>
      <c r="D34" s="77">
        <v>37</v>
      </c>
      <c r="E34" s="28"/>
      <c r="F34" s="28"/>
      <c r="H34" s="29" t="s">
        <v>2601</v>
      </c>
      <c r="I34" s="28"/>
      <c r="J34" s="28"/>
      <c r="K34" s="281">
        <f>$K$26*$K$27*$K$28</f>
        <v>1976.3999999999999</v>
      </c>
      <c r="L34" s="148" t="s">
        <v>2602</v>
      </c>
      <c r="T34" s="328" t="s">
        <v>2603</v>
      </c>
      <c r="U34" s="328"/>
      <c r="V34" s="328"/>
      <c r="W34" s="328"/>
      <c r="X34" s="328"/>
    </row>
    <row r="35" spans="1:24" ht="18" customHeight="1" x14ac:dyDescent="0.35">
      <c r="B35" s="25" t="s">
        <v>2412</v>
      </c>
      <c r="C35" s="35">
        <v>3.5000000000000003E-2</v>
      </c>
      <c r="D35" s="35">
        <v>3.5000000000000003E-2</v>
      </c>
      <c r="E35" s="28"/>
      <c r="F35" s="28"/>
      <c r="H35" s="29" t="s">
        <v>2604</v>
      </c>
      <c r="I35" s="28"/>
      <c r="J35" s="28"/>
      <c r="K35" s="281">
        <f>$K$26*$K$27*$K$28*$K$29</f>
        <v>3952.7999999999997</v>
      </c>
      <c r="L35" s="148" t="s">
        <v>2605</v>
      </c>
    </row>
    <row r="36" spans="1:24" ht="18" customHeight="1" x14ac:dyDescent="0.35">
      <c r="A36" s="19"/>
      <c r="B36" s="19"/>
      <c r="C36" s="19"/>
      <c r="D36" s="19"/>
      <c r="E36" s="19"/>
      <c r="F36" s="19"/>
      <c r="G36" s="19"/>
      <c r="H36" s="187" t="s">
        <v>2606</v>
      </c>
      <c r="I36" s="151"/>
      <c r="J36" s="151"/>
      <c r="K36" s="282">
        <f>$K$26*$K$27*$K$28*$K$29*(1+$K$31)^$K$30</f>
        <v>34606.586870956271</v>
      </c>
      <c r="L36" s="74" t="s">
        <v>2607</v>
      </c>
      <c r="M36" s="19"/>
      <c r="N36" s="19"/>
      <c r="O36" s="19"/>
      <c r="P36" s="19"/>
      <c r="Q36" s="19"/>
      <c r="R36" s="19"/>
      <c r="S36" s="19"/>
      <c r="T36" s="19"/>
      <c r="U36" s="19"/>
      <c r="V36" s="19"/>
      <c r="W36" s="19"/>
      <c r="X36" s="19"/>
    </row>
    <row r="37" spans="1:24" ht="6" customHeight="1" x14ac:dyDescent="0.35">
      <c r="A37" s="19"/>
      <c r="B37" s="336" t="s">
        <v>711</v>
      </c>
      <c r="C37" s="336"/>
      <c r="D37" s="336"/>
      <c r="E37" s="336"/>
      <c r="F37" s="336"/>
      <c r="G37" s="19"/>
      <c r="H37" s="283" t="s">
        <v>2608</v>
      </c>
      <c r="I37" s="44"/>
      <c r="J37" s="44"/>
      <c r="K37" s="284">
        <f>$K$26*$K$27*$K$28*(1+$K$31)^$K$30</f>
        <v>17303.293435478136</v>
      </c>
      <c r="L37" s="143" t="s">
        <v>2609</v>
      </c>
      <c r="M37" s="19"/>
      <c r="N37" s="19"/>
      <c r="O37" s="19"/>
      <c r="P37" s="19"/>
      <c r="Q37" s="19"/>
      <c r="R37" s="19"/>
      <c r="S37" s="19"/>
      <c r="T37" s="19"/>
      <c r="U37" s="19"/>
      <c r="V37" s="19"/>
      <c r="W37" s="19"/>
      <c r="X37" s="19"/>
    </row>
    <row r="38" spans="1:24" ht="19.5" customHeight="1" x14ac:dyDescent="0.35">
      <c r="A38" s="12" t="s">
        <v>2610</v>
      </c>
      <c r="B38" s="12"/>
      <c r="C38" s="12"/>
      <c r="D38" s="12"/>
      <c r="E38" s="12"/>
      <c r="F38" s="12"/>
      <c r="H38" s="224" t="s">
        <v>2611</v>
      </c>
      <c r="I38" s="140"/>
      <c r="J38" s="140"/>
      <c r="K38" s="285">
        <f>K37-14500</f>
        <v>2803.2934354781355</v>
      </c>
      <c r="L38" s="141" t="s">
        <v>2612</v>
      </c>
    </row>
    <row r="39" spans="1:24" ht="15" customHeight="1" x14ac:dyDescent="0.35">
      <c r="B39" s="29" t="s">
        <v>35</v>
      </c>
      <c r="C39" s="286" t="s">
        <v>2613</v>
      </c>
      <c r="D39" s="286" t="s">
        <v>2614</v>
      </c>
      <c r="E39" s="46">
        <f>C40-D40</f>
        <v>-5000</v>
      </c>
      <c r="F39" s="28"/>
      <c r="H39" s="224" t="s">
        <v>2615</v>
      </c>
      <c r="I39" s="140"/>
      <c r="J39" s="140"/>
      <c r="K39" s="285">
        <f>K36/($K$30*12)*12</f>
        <v>1153.5528956985424</v>
      </c>
      <c r="L39" s="141" t="s">
        <v>2616</v>
      </c>
    </row>
    <row r="40" spans="1:24" ht="15" customHeight="1" x14ac:dyDescent="0.35">
      <c r="B40" s="187" t="s">
        <v>2617</v>
      </c>
      <c r="C40" s="186">
        <v>28000</v>
      </c>
      <c r="D40" s="186">
        <v>33000</v>
      </c>
      <c r="E40" s="220">
        <f>D41</f>
        <v>75000</v>
      </c>
      <c r="F40" s="151"/>
      <c r="H40" s="23" t="s">
        <v>2618</v>
      </c>
      <c r="I40" s="140"/>
      <c r="J40" s="140"/>
      <c r="K40" s="287"/>
      <c r="L40" s="141"/>
    </row>
    <row r="41" spans="1:24" ht="15" customHeight="1" x14ac:dyDescent="0.35">
      <c r="B41" s="60" t="s">
        <v>2619</v>
      </c>
      <c r="C41" s="220">
        <v>52000</v>
      </c>
      <c r="D41" s="220">
        <v>75000</v>
      </c>
      <c r="E41" s="46">
        <f>C40-D40</f>
        <v>-5000</v>
      </c>
      <c r="F41" s="151"/>
      <c r="H41" s="29" t="s">
        <v>2620</v>
      </c>
      <c r="I41" s="28"/>
      <c r="J41" s="28"/>
      <c r="K41" s="72" t="s">
        <v>2621</v>
      </c>
      <c r="L41" s="148" t="s">
        <v>2622</v>
      </c>
    </row>
    <row r="42" spans="1:24" ht="15" customHeight="1" x14ac:dyDescent="0.35">
      <c r="B42" s="193" t="s">
        <v>2623</v>
      </c>
      <c r="C42" s="46">
        <v>90000</v>
      </c>
      <c r="D42" s="46">
        <v>136000</v>
      </c>
      <c r="E42" s="278">
        <f>IF(C40&gt;0,(C40-D40)/C40,0)</f>
        <v>-0.17857142857142858</v>
      </c>
      <c r="F42" s="151"/>
      <c r="H42" s="29" t="s">
        <v>2624</v>
      </c>
      <c r="I42" s="28"/>
      <c r="J42" s="28"/>
      <c r="K42" s="72" t="s">
        <v>2625</v>
      </c>
      <c r="L42" s="148" t="s">
        <v>2626</v>
      </c>
    </row>
    <row r="43" spans="1:24" ht="15" customHeight="1" x14ac:dyDescent="0.35">
      <c r="B43" s="60" t="s">
        <v>2627</v>
      </c>
      <c r="C43" s="278">
        <v>134000</v>
      </c>
      <c r="D43" s="278">
        <v>194000</v>
      </c>
      <c r="E43" s="151"/>
      <c r="F43" s="151"/>
    </row>
    <row r="44" spans="1:24" ht="18" customHeight="1" x14ac:dyDescent="0.35">
      <c r="B44" s="23" t="s">
        <v>2628</v>
      </c>
      <c r="C44" s="188" t="s">
        <v>2557</v>
      </c>
      <c r="D44" s="188">
        <f>IF(D42&gt;0,(C40-D40)/((1+D33/12)^((D34-(D31-D28+D30))*12)-1)*(D33/12),0)</f>
        <v>-3.4141990224983938</v>
      </c>
      <c r="E44" s="140"/>
      <c r="F44" s="140"/>
    </row>
    <row r="45" spans="1:24" ht="18" customHeight="1" x14ac:dyDescent="0.35">
      <c r="B45" s="224" t="s">
        <v>2629</v>
      </c>
      <c r="C45" s="225" t="s">
        <v>2557</v>
      </c>
      <c r="D45" s="225">
        <f>D44*12</f>
        <v>-40.970388269980724</v>
      </c>
      <c r="E45" s="140"/>
      <c r="F45" s="140"/>
    </row>
    <row r="56" spans="1:24" ht="36" customHeight="1" x14ac:dyDescent="0.35">
      <c r="A56" s="2" t="s">
        <v>2630</v>
      </c>
      <c r="B56" s="2"/>
      <c r="C56" s="2"/>
      <c r="D56" s="2"/>
      <c r="E56" s="2"/>
      <c r="F56" s="2"/>
      <c r="G56" s="2"/>
      <c r="H56" s="2"/>
      <c r="I56" s="2"/>
      <c r="J56" s="2"/>
      <c r="K56" s="2"/>
      <c r="L56" s="2"/>
      <c r="M56" s="2"/>
      <c r="N56" s="2"/>
      <c r="O56" s="2"/>
      <c r="P56" s="2"/>
      <c r="Q56" s="2"/>
      <c r="R56" s="2"/>
      <c r="S56" s="2"/>
      <c r="T56" s="2"/>
      <c r="U56" s="2"/>
      <c r="V56" s="2"/>
      <c r="W56" s="2"/>
      <c r="X56" s="2"/>
    </row>
  </sheetData>
  <mergeCells count="43">
    <mergeCell ref="T34:X34"/>
    <mergeCell ref="B37:F37"/>
    <mergeCell ref="A38:F38"/>
    <mergeCell ref="A56:X56"/>
    <mergeCell ref="T29:X29"/>
    <mergeCell ref="T30:X30"/>
    <mergeCell ref="T31:X31"/>
    <mergeCell ref="T32:X32"/>
    <mergeCell ref="H33:L33"/>
    <mergeCell ref="T33:X33"/>
    <mergeCell ref="T25:X25"/>
    <mergeCell ref="A26:F26"/>
    <mergeCell ref="T26:X26"/>
    <mergeCell ref="T27:X27"/>
    <mergeCell ref="T28:X28"/>
    <mergeCell ref="T20:X20"/>
    <mergeCell ref="T21:X21"/>
    <mergeCell ref="T22:X22"/>
    <mergeCell ref="T23:X23"/>
    <mergeCell ref="T24:X24"/>
    <mergeCell ref="T16:X16"/>
    <mergeCell ref="T17:X17"/>
    <mergeCell ref="H18:L18"/>
    <mergeCell ref="T18:X18"/>
    <mergeCell ref="Q19:S19"/>
    <mergeCell ref="T19:X19"/>
    <mergeCell ref="T11:X11"/>
    <mergeCell ref="T12:X12"/>
    <mergeCell ref="T13:X13"/>
    <mergeCell ref="T14:X14"/>
    <mergeCell ref="T15:X15"/>
    <mergeCell ref="T6:X6"/>
    <mergeCell ref="T7:X7"/>
    <mergeCell ref="T8:X8"/>
    <mergeCell ref="T9:X9"/>
    <mergeCell ref="T10:X10"/>
    <mergeCell ref="A1:X1"/>
    <mergeCell ref="A2:X2"/>
    <mergeCell ref="A4:F4"/>
    <mergeCell ref="H4:L4"/>
    <mergeCell ref="M4:O4"/>
    <mergeCell ref="Q4:S4"/>
    <mergeCell ref="T4:X4"/>
  </mergeCells>
  <pageMargins left="0.75" right="0.75" top="1" bottom="1" header="0.511811023622047" footer="0.511811023622047"/>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A8C6B"/>
  </sheetPr>
  <dimension ref="A1:X63"/>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defaultColWidth="8.6328125" defaultRowHeight="14.5" x14ac:dyDescent="0.35"/>
  <cols>
    <col min="1" max="1" width="2" customWidth="1"/>
    <col min="2" max="2" width="30" customWidth="1"/>
    <col min="3" max="6" width="14" customWidth="1"/>
    <col min="7" max="7" width="2" customWidth="1"/>
    <col min="8" max="8" width="30" customWidth="1"/>
    <col min="9" max="11" width="14" customWidth="1"/>
    <col min="12" max="12" width="2" customWidth="1"/>
    <col min="13" max="13" width="30" customWidth="1"/>
    <col min="14" max="15" width="14" customWidth="1"/>
    <col min="16" max="16" width="2" customWidth="1"/>
    <col min="17" max="17" width="30" customWidth="1"/>
    <col min="18" max="18" width="14" customWidth="1"/>
    <col min="19" max="19" width="2" customWidth="1"/>
    <col min="20" max="20" width="22" customWidth="1"/>
    <col min="21" max="24" width="2" customWidth="1"/>
  </cols>
  <sheetData>
    <row r="1" spans="1:24" ht="43.5" customHeight="1" x14ac:dyDescent="0.35">
      <c r="A1" s="9" t="s">
        <v>2631</v>
      </c>
      <c r="B1" s="9"/>
      <c r="C1" s="9"/>
      <c r="D1" s="9"/>
      <c r="E1" s="9"/>
      <c r="F1" s="9"/>
      <c r="G1" s="9"/>
      <c r="H1" s="9"/>
      <c r="I1" s="9"/>
      <c r="J1" s="9"/>
      <c r="K1" s="9"/>
      <c r="L1" s="9"/>
      <c r="M1" s="9"/>
      <c r="N1" s="9"/>
      <c r="O1" s="9"/>
      <c r="P1" s="9"/>
      <c r="Q1" s="9"/>
      <c r="R1" s="9"/>
      <c r="S1" s="9"/>
      <c r="T1" s="9"/>
      <c r="U1" s="9"/>
      <c r="V1" s="9"/>
      <c r="W1" s="9"/>
      <c r="X1" s="9"/>
    </row>
    <row r="2" spans="1:24" ht="18" customHeight="1" x14ac:dyDescent="0.35">
      <c r="A2" s="8" t="s">
        <v>2632</v>
      </c>
      <c r="B2" s="8"/>
      <c r="C2" s="8"/>
      <c r="D2" s="8"/>
      <c r="E2" s="8"/>
      <c r="F2" s="8"/>
      <c r="G2" s="8"/>
      <c r="H2" s="8"/>
      <c r="I2" s="8"/>
      <c r="J2" s="8"/>
      <c r="K2" s="8"/>
      <c r="L2" s="8"/>
      <c r="M2" s="8"/>
      <c r="N2" s="8"/>
      <c r="O2" s="8"/>
      <c r="P2" s="8"/>
      <c r="Q2" s="8"/>
      <c r="R2" s="8"/>
      <c r="S2" s="8"/>
      <c r="T2" s="8"/>
      <c r="U2" s="8"/>
      <c r="V2" s="8"/>
      <c r="W2" s="8"/>
      <c r="X2" s="8"/>
    </row>
    <row r="3" spans="1:24" ht="7.5" customHeight="1" x14ac:dyDescent="0.35">
      <c r="A3" s="19"/>
      <c r="B3" s="19"/>
      <c r="C3" s="19"/>
      <c r="D3" s="19"/>
      <c r="E3" s="19"/>
      <c r="F3" s="19"/>
      <c r="G3" s="19"/>
      <c r="H3" s="19"/>
      <c r="I3" s="19"/>
      <c r="J3" s="19"/>
      <c r="K3" s="19"/>
      <c r="L3" s="19"/>
      <c r="M3" s="19"/>
      <c r="N3" s="19"/>
      <c r="O3" s="19"/>
      <c r="P3" s="19"/>
      <c r="Q3" s="19"/>
      <c r="R3" s="19"/>
      <c r="S3" s="19"/>
      <c r="T3" s="19"/>
      <c r="U3" s="19"/>
      <c r="V3" s="19"/>
      <c r="W3" s="19"/>
      <c r="X3" s="19"/>
    </row>
    <row r="4" spans="1:24" ht="19.5" customHeight="1" x14ac:dyDescent="0.35">
      <c r="A4" s="12" t="s">
        <v>2633</v>
      </c>
      <c r="B4" s="12"/>
      <c r="C4" s="12"/>
      <c r="D4" s="12"/>
      <c r="E4" s="12"/>
      <c r="F4" s="12"/>
      <c r="H4" s="12" t="s">
        <v>2634</v>
      </c>
      <c r="I4" s="12"/>
      <c r="J4" s="12"/>
      <c r="K4" s="12"/>
      <c r="M4" s="12" t="s">
        <v>2635</v>
      </c>
      <c r="N4" s="12"/>
      <c r="O4" s="12"/>
      <c r="Q4" s="12" t="s">
        <v>2636</v>
      </c>
      <c r="R4" s="12"/>
      <c r="S4" s="12"/>
      <c r="T4" s="7" t="s">
        <v>2637</v>
      </c>
      <c r="U4" s="7"/>
      <c r="V4" s="7"/>
      <c r="W4" s="7"/>
      <c r="X4" s="7"/>
    </row>
    <row r="5" spans="1:24" ht="36" customHeight="1" x14ac:dyDescent="0.35">
      <c r="B5" s="20" t="s">
        <v>1712</v>
      </c>
      <c r="C5" s="20" t="s">
        <v>2638</v>
      </c>
      <c r="D5" s="288" t="s">
        <v>2639</v>
      </c>
      <c r="E5" s="20" t="s">
        <v>2640</v>
      </c>
      <c r="F5" s="20" t="s">
        <v>2641</v>
      </c>
      <c r="H5" s="20" t="s">
        <v>2642</v>
      </c>
      <c r="I5" s="15" t="s">
        <v>2643</v>
      </c>
      <c r="J5" s="20" t="s">
        <v>2644</v>
      </c>
      <c r="K5" s="20" t="s">
        <v>2645</v>
      </c>
      <c r="M5" s="20" t="s">
        <v>1507</v>
      </c>
      <c r="N5" s="20" t="s">
        <v>2646</v>
      </c>
      <c r="O5" s="20" t="s">
        <v>2647</v>
      </c>
      <c r="Q5" s="20" t="s">
        <v>1722</v>
      </c>
      <c r="R5" s="20" t="s">
        <v>2648</v>
      </c>
      <c r="S5" s="20" t="s">
        <v>1724</v>
      </c>
    </row>
    <row r="6" spans="1:24" ht="15" customHeight="1" x14ac:dyDescent="0.35">
      <c r="B6" s="289" t="s">
        <v>2649</v>
      </c>
      <c r="C6" s="290"/>
      <c r="D6" s="291"/>
      <c r="E6" s="179"/>
      <c r="F6" s="141"/>
      <c r="H6" s="25" t="s">
        <v>2650</v>
      </c>
      <c r="I6" s="26">
        <v>90000</v>
      </c>
      <c r="J6" s="28"/>
      <c r="K6" s="28"/>
      <c r="M6" s="289" t="s">
        <v>2651</v>
      </c>
      <c r="N6" s="71"/>
      <c r="O6" s="179"/>
      <c r="Q6" s="289" t="s">
        <v>2652</v>
      </c>
      <c r="R6" s="163"/>
      <c r="S6" s="215"/>
      <c r="T6" s="337" t="s">
        <v>2653</v>
      </c>
      <c r="U6" s="337"/>
      <c r="V6" s="337"/>
      <c r="W6" s="337"/>
      <c r="X6" s="337"/>
    </row>
    <row r="7" spans="1:24" ht="15" customHeight="1" x14ac:dyDescent="0.35">
      <c r="B7" s="29" t="s">
        <v>2654</v>
      </c>
      <c r="C7" s="292" t="s">
        <v>2655</v>
      </c>
      <c r="D7" s="293" t="s">
        <v>2656</v>
      </c>
      <c r="E7" s="184" t="s">
        <v>2657</v>
      </c>
      <c r="F7" s="148" t="s">
        <v>2658</v>
      </c>
      <c r="H7" s="25" t="s">
        <v>2659</v>
      </c>
      <c r="I7" s="26">
        <v>10000</v>
      </c>
      <c r="J7" s="28"/>
      <c r="K7" s="28"/>
      <c r="M7" s="29" t="s">
        <v>2660</v>
      </c>
      <c r="N7" s="72" t="s">
        <v>2661</v>
      </c>
      <c r="O7" s="204" t="s">
        <v>2662</v>
      </c>
      <c r="Q7" s="29" t="s">
        <v>2663</v>
      </c>
      <c r="R7" s="167"/>
      <c r="S7" s="217" t="s">
        <v>1738</v>
      </c>
      <c r="T7" s="328" t="s">
        <v>2664</v>
      </c>
      <c r="U7" s="328"/>
      <c r="V7" s="328"/>
      <c r="W7" s="328"/>
      <c r="X7" s="328"/>
    </row>
    <row r="8" spans="1:24" ht="15" customHeight="1" x14ac:dyDescent="0.35">
      <c r="B8" s="29" t="s">
        <v>2665</v>
      </c>
      <c r="C8" s="292" t="s">
        <v>2666</v>
      </c>
      <c r="D8" s="293" t="s">
        <v>2656</v>
      </c>
      <c r="E8" s="184" t="s">
        <v>2667</v>
      </c>
      <c r="F8" s="148" t="s">
        <v>2668</v>
      </c>
      <c r="H8" s="25" t="s">
        <v>2669</v>
      </c>
      <c r="I8" s="77">
        <v>4</v>
      </c>
      <c r="J8" s="28"/>
      <c r="K8" s="28"/>
      <c r="M8" s="29" t="s">
        <v>2670</v>
      </c>
      <c r="N8" s="72" t="s">
        <v>2671</v>
      </c>
      <c r="O8" s="184" t="s">
        <v>2672</v>
      </c>
      <c r="Q8" s="29" t="s">
        <v>2673</v>
      </c>
      <c r="R8" s="167"/>
      <c r="S8" s="217" t="s">
        <v>1738</v>
      </c>
      <c r="T8" s="328" t="s">
        <v>2674</v>
      </c>
      <c r="U8" s="328"/>
      <c r="V8" s="328"/>
      <c r="W8" s="328"/>
      <c r="X8" s="328"/>
    </row>
    <row r="9" spans="1:24" ht="15" customHeight="1" x14ac:dyDescent="0.35">
      <c r="B9" s="29" t="s">
        <v>2675</v>
      </c>
      <c r="C9" s="292" t="s">
        <v>2676</v>
      </c>
      <c r="D9" s="293" t="s">
        <v>2656</v>
      </c>
      <c r="E9" s="184" t="s">
        <v>2677</v>
      </c>
      <c r="F9" s="148" t="s">
        <v>2658</v>
      </c>
      <c r="H9" s="25" t="s">
        <v>2678</v>
      </c>
      <c r="I9" s="35">
        <v>0.05</v>
      </c>
      <c r="J9" s="28"/>
      <c r="K9" s="28"/>
      <c r="M9" s="29" t="s">
        <v>2679</v>
      </c>
      <c r="N9" s="72" t="s">
        <v>2680</v>
      </c>
      <c r="O9" s="204" t="s">
        <v>2681</v>
      </c>
      <c r="Q9" s="29" t="s">
        <v>2682</v>
      </c>
      <c r="R9" s="167"/>
      <c r="S9" s="217" t="s">
        <v>1738</v>
      </c>
      <c r="T9" s="328" t="s">
        <v>2683</v>
      </c>
      <c r="U9" s="328"/>
      <c r="V9" s="328"/>
      <c r="W9" s="328"/>
      <c r="X9" s="328"/>
    </row>
    <row r="10" spans="1:24" ht="15" customHeight="1" x14ac:dyDescent="0.35">
      <c r="B10" s="29" t="s">
        <v>2684</v>
      </c>
      <c r="C10" s="292" t="s">
        <v>2685</v>
      </c>
      <c r="D10" s="293" t="s">
        <v>2656</v>
      </c>
      <c r="E10" s="184" t="s">
        <v>2686</v>
      </c>
      <c r="F10" s="148" t="s">
        <v>2687</v>
      </c>
      <c r="H10" s="25" t="s">
        <v>2688</v>
      </c>
      <c r="I10" s="35">
        <v>7.4999999999999997E-2</v>
      </c>
      <c r="J10" s="28"/>
      <c r="K10" s="28"/>
      <c r="M10" s="29" t="s">
        <v>2689</v>
      </c>
      <c r="N10" s="72" t="s">
        <v>2690</v>
      </c>
      <c r="O10" s="184" t="s">
        <v>2691</v>
      </c>
      <c r="Q10" s="29" t="s">
        <v>2692</v>
      </c>
      <c r="R10" s="167"/>
      <c r="S10" s="217" t="s">
        <v>1738</v>
      </c>
      <c r="T10" s="328" t="s">
        <v>2693</v>
      </c>
      <c r="U10" s="328"/>
      <c r="V10" s="328"/>
      <c r="W10" s="328"/>
      <c r="X10" s="328"/>
    </row>
    <row r="11" spans="1:24" ht="15" customHeight="1" x14ac:dyDescent="0.35">
      <c r="B11" s="289" t="s">
        <v>2694</v>
      </c>
      <c r="C11" s="290"/>
      <c r="D11" s="291"/>
      <c r="E11" s="179"/>
      <c r="F11" s="141"/>
      <c r="H11" s="25" t="s">
        <v>2695</v>
      </c>
      <c r="I11" s="35">
        <v>7.9000000000000001E-2</v>
      </c>
      <c r="J11" s="28"/>
      <c r="K11" s="28"/>
      <c r="M11" s="289" t="s">
        <v>2696</v>
      </c>
      <c r="N11" s="71"/>
      <c r="O11" s="179"/>
      <c r="Q11" s="289" t="s">
        <v>2697</v>
      </c>
      <c r="R11" s="163"/>
      <c r="S11" s="215"/>
      <c r="T11" s="328"/>
      <c r="U11" s="328"/>
      <c r="V11" s="328"/>
      <c r="W11" s="328"/>
      <c r="X11" s="328"/>
    </row>
    <row r="12" spans="1:24" ht="15" customHeight="1" x14ac:dyDescent="0.35">
      <c r="B12" s="29" t="s">
        <v>2698</v>
      </c>
      <c r="C12" s="292" t="s">
        <v>2699</v>
      </c>
      <c r="D12" s="293" t="s">
        <v>2700</v>
      </c>
      <c r="E12" s="184" t="s">
        <v>2701</v>
      </c>
      <c r="F12" s="148" t="s">
        <v>2702</v>
      </c>
      <c r="H12" s="25" t="s">
        <v>2703</v>
      </c>
      <c r="I12" s="35">
        <v>0.17</v>
      </c>
      <c r="J12" s="28"/>
      <c r="K12" s="28"/>
      <c r="M12" s="29" t="s">
        <v>2704</v>
      </c>
      <c r="N12" s="72" t="s">
        <v>2705</v>
      </c>
      <c r="O12" s="184" t="s">
        <v>2706</v>
      </c>
      <c r="Q12" s="29" t="s">
        <v>2707</v>
      </c>
      <c r="R12" s="167"/>
      <c r="S12" s="219" t="s">
        <v>1744</v>
      </c>
      <c r="T12" s="337" t="s">
        <v>2708</v>
      </c>
      <c r="U12" s="337"/>
      <c r="V12" s="337"/>
      <c r="W12" s="337"/>
      <c r="X12" s="337"/>
    </row>
    <row r="13" spans="1:24" ht="15" customHeight="1" x14ac:dyDescent="0.35">
      <c r="A13" s="19"/>
      <c r="B13" s="45" t="s">
        <v>2709</v>
      </c>
      <c r="C13" s="294" t="s">
        <v>2710</v>
      </c>
      <c r="D13" s="295" t="s">
        <v>2711</v>
      </c>
      <c r="E13" s="296" t="s">
        <v>2712</v>
      </c>
      <c r="F13" s="143" t="s">
        <v>2713</v>
      </c>
      <c r="G13" s="19"/>
      <c r="H13" s="19"/>
      <c r="I13" s="19"/>
      <c r="J13" s="19"/>
      <c r="K13" s="19"/>
      <c r="L13" s="19"/>
      <c r="M13" s="60" t="s">
        <v>2714</v>
      </c>
      <c r="N13" s="73" t="s">
        <v>2715</v>
      </c>
      <c r="O13" s="170" t="s">
        <v>2716</v>
      </c>
      <c r="P13" s="19"/>
      <c r="Q13" s="29" t="s">
        <v>2717</v>
      </c>
      <c r="R13" s="167"/>
      <c r="S13" s="219" t="s">
        <v>1744</v>
      </c>
      <c r="T13" s="328" t="s">
        <v>2718</v>
      </c>
      <c r="U13" s="328"/>
      <c r="V13" s="328"/>
      <c r="W13" s="328"/>
      <c r="X13" s="328"/>
    </row>
    <row r="14" spans="1:24" ht="15" customHeight="1" x14ac:dyDescent="0.35">
      <c r="B14" s="29" t="s">
        <v>2719</v>
      </c>
      <c r="C14" s="292" t="s">
        <v>2720</v>
      </c>
      <c r="D14" s="293" t="s">
        <v>2656</v>
      </c>
      <c r="E14" s="184" t="s">
        <v>2721</v>
      </c>
      <c r="F14" s="148" t="s">
        <v>2687</v>
      </c>
      <c r="H14" s="5" t="s">
        <v>711</v>
      </c>
      <c r="I14" s="5"/>
      <c r="J14" s="5"/>
      <c r="K14" s="5"/>
      <c r="M14" s="29" t="s">
        <v>2722</v>
      </c>
      <c r="N14" s="72" t="s">
        <v>2723</v>
      </c>
      <c r="O14" s="184" t="s">
        <v>2724</v>
      </c>
      <c r="Q14" s="29" t="s">
        <v>2725</v>
      </c>
      <c r="R14" s="167"/>
      <c r="S14" s="217" t="s">
        <v>1738</v>
      </c>
      <c r="T14" s="328" t="s">
        <v>2726</v>
      </c>
      <c r="U14" s="328"/>
      <c r="V14" s="328"/>
      <c r="W14" s="328"/>
      <c r="X14" s="328"/>
    </row>
    <row r="15" spans="1:24" ht="15" customHeight="1" x14ac:dyDescent="0.35">
      <c r="B15" s="289" t="s">
        <v>2727</v>
      </c>
      <c r="C15" s="290"/>
      <c r="D15" s="291"/>
      <c r="E15" s="179"/>
      <c r="F15" s="141"/>
      <c r="H15" s="29" t="s">
        <v>2728</v>
      </c>
      <c r="I15" s="49">
        <f>IF(I6&lt;=18200,0.02,IF(I6&lt;=45000,0.21,IF(I6&lt;=135000,0.34,IF(I6&lt;=190000,0.41,0.47))))</f>
        <v>0.34</v>
      </c>
      <c r="J15" s="49">
        <f>IF(I6&lt;=18200,0.02,IF(I6&lt;=45000,0.21,IF(I6&lt;=135000,0.34,IF(I6&lt;=190000,0.41,0.47))))</f>
        <v>0.34</v>
      </c>
      <c r="K15" s="49">
        <f>IF(I6&lt;=18200,0.02,IF(I6&lt;=45000,0.21,IF(I6&lt;=135000,0.34,IF(I6&lt;=190000,0.41,0.47))))</f>
        <v>0.34</v>
      </c>
      <c r="M15" s="29" t="s">
        <v>2729</v>
      </c>
      <c r="N15" s="72" t="s">
        <v>2730</v>
      </c>
      <c r="O15" s="184" t="s">
        <v>2731</v>
      </c>
      <c r="Q15" s="29" t="s">
        <v>2732</v>
      </c>
      <c r="R15" s="167"/>
      <c r="S15" s="217" t="s">
        <v>1738</v>
      </c>
      <c r="T15" s="328" t="s">
        <v>2733</v>
      </c>
      <c r="U15" s="328"/>
      <c r="V15" s="328"/>
      <c r="W15" s="328"/>
      <c r="X15" s="328"/>
    </row>
    <row r="16" spans="1:24" ht="15" customHeight="1" x14ac:dyDescent="0.35">
      <c r="B16" s="69" t="s">
        <v>2734</v>
      </c>
      <c r="C16" s="297" t="s">
        <v>2735</v>
      </c>
      <c r="D16" s="293" t="s">
        <v>2736</v>
      </c>
      <c r="E16" s="204" t="s">
        <v>2737</v>
      </c>
      <c r="F16" s="74" t="s">
        <v>2738</v>
      </c>
      <c r="H16" s="29" t="s">
        <v>2739</v>
      </c>
      <c r="I16" s="49">
        <f>0.15</f>
        <v>0.15</v>
      </c>
      <c r="J16" s="49" t="s">
        <v>2740</v>
      </c>
      <c r="K16" s="49" t="s">
        <v>2740</v>
      </c>
      <c r="M16" s="289" t="s">
        <v>2741</v>
      </c>
      <c r="N16" s="71"/>
      <c r="O16" s="179"/>
      <c r="Q16" s="29" t="s">
        <v>2742</v>
      </c>
      <c r="R16" s="167"/>
      <c r="S16" s="217" t="s">
        <v>1738</v>
      </c>
      <c r="T16" s="328" t="s">
        <v>2743</v>
      </c>
      <c r="U16" s="328"/>
      <c r="V16" s="328"/>
      <c r="W16" s="328"/>
      <c r="X16" s="328"/>
    </row>
    <row r="17" spans="1:24" ht="15" customHeight="1" x14ac:dyDescent="0.35">
      <c r="B17" s="29" t="s">
        <v>2744</v>
      </c>
      <c r="C17" s="292" t="s">
        <v>2745</v>
      </c>
      <c r="D17" s="293" t="s">
        <v>2736</v>
      </c>
      <c r="E17" s="184" t="s">
        <v>2746</v>
      </c>
      <c r="F17" s="148" t="s">
        <v>2747</v>
      </c>
      <c r="H17" s="222" t="s">
        <v>2748</v>
      </c>
      <c r="I17" s="298">
        <f>I15-0.15</f>
        <v>0.19000000000000003</v>
      </c>
      <c r="J17" s="298" t="s">
        <v>2749</v>
      </c>
      <c r="K17" s="298" t="s">
        <v>2749</v>
      </c>
      <c r="M17" s="29" t="s">
        <v>2750</v>
      </c>
      <c r="N17" s="72" t="s">
        <v>2751</v>
      </c>
      <c r="O17" s="184" t="s">
        <v>2752</v>
      </c>
      <c r="Q17" s="289" t="s">
        <v>2753</v>
      </c>
      <c r="R17" s="163"/>
      <c r="S17" s="215"/>
      <c r="T17" s="328"/>
      <c r="U17" s="328"/>
      <c r="V17" s="328"/>
      <c r="W17" s="328"/>
      <c r="X17" s="328"/>
    </row>
    <row r="18" spans="1:24" ht="15" customHeight="1" x14ac:dyDescent="0.35">
      <c r="B18" s="69" t="s">
        <v>2754</v>
      </c>
      <c r="C18" s="297" t="s">
        <v>2755</v>
      </c>
      <c r="D18" s="293" t="s">
        <v>2656</v>
      </c>
      <c r="E18" s="204" t="s">
        <v>2756</v>
      </c>
      <c r="F18" s="74" t="s">
        <v>2757</v>
      </c>
      <c r="H18" s="187" t="s">
        <v>2758</v>
      </c>
      <c r="I18" s="186">
        <f>I7*(I15-0.15)*I8</f>
        <v>7600.0000000000009</v>
      </c>
      <c r="J18" s="186" t="s">
        <v>2759</v>
      </c>
      <c r="K18" s="186" t="s">
        <v>2759</v>
      </c>
      <c r="M18" s="29" t="s">
        <v>2760</v>
      </c>
      <c r="N18" s="72" t="s">
        <v>2761</v>
      </c>
      <c r="O18" s="184" t="s">
        <v>2762</v>
      </c>
      <c r="Q18" s="29" t="s">
        <v>2763</v>
      </c>
      <c r="R18" s="167"/>
      <c r="S18" s="219" t="s">
        <v>1744</v>
      </c>
      <c r="T18" s="337" t="s">
        <v>2764</v>
      </c>
      <c r="U18" s="337"/>
      <c r="V18" s="337"/>
      <c r="W18" s="337"/>
      <c r="X18" s="337"/>
    </row>
    <row r="19" spans="1:24" ht="15" customHeight="1" x14ac:dyDescent="0.35">
      <c r="B19" s="29" t="s">
        <v>2765</v>
      </c>
      <c r="C19" s="292" t="s">
        <v>2766</v>
      </c>
      <c r="D19" s="293" t="s">
        <v>2736</v>
      </c>
      <c r="E19" s="184" t="s">
        <v>2767</v>
      </c>
      <c r="F19" s="148" t="s">
        <v>2768</v>
      </c>
      <c r="H19" s="29" t="s">
        <v>2769</v>
      </c>
      <c r="I19" s="52">
        <f>I7</f>
        <v>10000</v>
      </c>
      <c r="J19" s="52">
        <f>I7*(1-I15)</f>
        <v>6599.9999999999991</v>
      </c>
      <c r="K19" s="52">
        <f>I7*(1-I15)</f>
        <v>6599.9999999999991</v>
      </c>
      <c r="M19" s="289" t="s">
        <v>2770</v>
      </c>
      <c r="N19" s="71"/>
      <c r="O19" s="179"/>
      <c r="Q19" s="29" t="s">
        <v>2771</v>
      </c>
      <c r="R19" s="167"/>
      <c r="S19" s="219" t="s">
        <v>1744</v>
      </c>
      <c r="T19" s="328" t="s">
        <v>2772</v>
      </c>
      <c r="U19" s="328"/>
      <c r="V19" s="328"/>
      <c r="W19" s="328"/>
      <c r="X19" s="328"/>
    </row>
    <row r="20" spans="1:24" ht="15" customHeight="1" x14ac:dyDescent="0.35">
      <c r="B20" s="289" t="s">
        <v>2773</v>
      </c>
      <c r="C20" s="290"/>
      <c r="D20" s="291"/>
      <c r="E20" s="179"/>
      <c r="F20" s="141"/>
      <c r="H20" s="187" t="s">
        <v>2774</v>
      </c>
      <c r="I20" s="186">
        <f>I7*((1+I11)^I8-1)/I11</f>
        <v>44994.570389999957</v>
      </c>
      <c r="J20" s="186">
        <f>J19*((1+I9)^I8-1)/I9</f>
        <v>28446.824999999997</v>
      </c>
      <c r="K20" s="186">
        <f>K19*((1+I10)^I8-1)/I10</f>
        <v>29521.284374999985</v>
      </c>
      <c r="M20" s="29" t="s">
        <v>2775</v>
      </c>
      <c r="N20" s="72" t="s">
        <v>2776</v>
      </c>
      <c r="O20" s="184" t="s">
        <v>2777</v>
      </c>
      <c r="Q20" s="29" t="s">
        <v>2778</v>
      </c>
      <c r="R20" s="167"/>
      <c r="S20" s="219" t="s">
        <v>1787</v>
      </c>
      <c r="T20" s="328" t="s">
        <v>2779</v>
      </c>
      <c r="U20" s="328"/>
      <c r="V20" s="328"/>
      <c r="W20" s="328"/>
      <c r="X20" s="328"/>
    </row>
    <row r="21" spans="1:24" ht="15" customHeight="1" x14ac:dyDescent="0.35">
      <c r="B21" s="29" t="s">
        <v>2780</v>
      </c>
      <c r="C21" s="292" t="s">
        <v>2781</v>
      </c>
      <c r="D21" s="293" t="s">
        <v>2736</v>
      </c>
      <c r="E21" s="184" t="s">
        <v>2782</v>
      </c>
      <c r="F21" s="148" t="s">
        <v>2783</v>
      </c>
      <c r="H21" s="60" t="s">
        <v>2784</v>
      </c>
      <c r="I21" s="220">
        <f>I7*I8*(I15-0.3)</f>
        <v>1600.0000000000014</v>
      </c>
      <c r="J21" s="220" t="s">
        <v>2785</v>
      </c>
      <c r="K21" s="220">
        <f>(K20-K19*I8)*I12</f>
        <v>530.61834374999808</v>
      </c>
      <c r="M21" s="60" t="s">
        <v>2786</v>
      </c>
      <c r="N21" s="73" t="s">
        <v>2787</v>
      </c>
      <c r="O21" s="170" t="s">
        <v>2788</v>
      </c>
      <c r="Q21" s="289" t="s">
        <v>2789</v>
      </c>
      <c r="R21" s="163"/>
      <c r="S21" s="215"/>
      <c r="T21" s="328" t="s">
        <v>2790</v>
      </c>
      <c r="U21" s="328"/>
      <c r="V21" s="328"/>
      <c r="W21" s="328"/>
      <c r="X21" s="328"/>
    </row>
    <row r="22" spans="1:24" ht="15" customHeight="1" x14ac:dyDescent="0.35">
      <c r="B22" s="60" t="s">
        <v>2791</v>
      </c>
      <c r="C22" s="297" t="s">
        <v>2792</v>
      </c>
      <c r="D22" s="293" t="s">
        <v>2736</v>
      </c>
      <c r="E22" s="204" t="s">
        <v>2793</v>
      </c>
      <c r="F22" s="74" t="s">
        <v>2794</v>
      </c>
      <c r="H22" s="187" t="s">
        <v>2795</v>
      </c>
      <c r="I22" s="186">
        <f>I20-I21</f>
        <v>43394.570389999957</v>
      </c>
      <c r="J22" s="186">
        <f>J20</f>
        <v>28446.824999999997</v>
      </c>
      <c r="K22" s="186">
        <f>K20-K21</f>
        <v>28990.666031249988</v>
      </c>
      <c r="M22" s="29" t="s">
        <v>2796</v>
      </c>
      <c r="N22" s="72" t="s">
        <v>2797</v>
      </c>
      <c r="O22" s="184" t="s">
        <v>2798</v>
      </c>
      <c r="Q22" s="60" t="s">
        <v>2799</v>
      </c>
      <c r="R22" s="167"/>
      <c r="S22" s="217" t="s">
        <v>1738</v>
      </c>
      <c r="T22" s="328"/>
      <c r="U22" s="328"/>
      <c r="V22" s="328"/>
      <c r="W22" s="328"/>
      <c r="X22" s="328"/>
    </row>
    <row r="23" spans="1:24" ht="15" customHeight="1" x14ac:dyDescent="0.35">
      <c r="B23" s="60" t="s">
        <v>2800</v>
      </c>
      <c r="C23" s="297" t="s">
        <v>2801</v>
      </c>
      <c r="D23" s="293" t="s">
        <v>2736</v>
      </c>
      <c r="E23" s="204" t="s">
        <v>2802</v>
      </c>
      <c r="F23" s="74" t="s">
        <v>2794</v>
      </c>
      <c r="H23" s="23" t="s">
        <v>2803</v>
      </c>
      <c r="I23" s="188" t="s">
        <v>2557</v>
      </c>
      <c r="J23" s="188">
        <f>I22-J22</f>
        <v>14947.74538999996</v>
      </c>
      <c r="K23" s="188">
        <f>I22-K22</f>
        <v>14403.904358749969</v>
      </c>
      <c r="Q23" s="29" t="s">
        <v>2804</v>
      </c>
      <c r="R23" s="167"/>
      <c r="S23" s="219" t="s">
        <v>1744</v>
      </c>
      <c r="T23" s="337" t="s">
        <v>2805</v>
      </c>
      <c r="U23" s="337"/>
      <c r="V23" s="337"/>
      <c r="W23" s="337"/>
      <c r="X23" s="337"/>
    </row>
    <row r="24" spans="1:24" ht="15" customHeight="1" x14ac:dyDescent="0.35">
      <c r="B24" s="29" t="s">
        <v>2806</v>
      </c>
      <c r="C24" s="292" t="s">
        <v>2807</v>
      </c>
      <c r="D24" s="293" t="s">
        <v>2808</v>
      </c>
      <c r="E24" s="184" t="s">
        <v>2809</v>
      </c>
      <c r="F24" s="148" t="s">
        <v>2687</v>
      </c>
      <c r="H24" s="224" t="s">
        <v>2810</v>
      </c>
      <c r="I24" s="299" t="s">
        <v>2557</v>
      </c>
      <c r="J24" s="299">
        <f>IF(J22&gt;0,(I22-J22)/J22,0)</f>
        <v>0.52546269715512928</v>
      </c>
      <c r="K24" s="299">
        <f>IF(K22&gt;0,(I22-K22)/K22,0)</f>
        <v>0.49684627263214748</v>
      </c>
      <c r="Q24" s="29" t="s">
        <v>2811</v>
      </c>
      <c r="R24" s="167"/>
      <c r="S24" s="219" t="s">
        <v>1744</v>
      </c>
      <c r="T24" s="328" t="s">
        <v>2812</v>
      </c>
      <c r="U24" s="328"/>
      <c r="V24" s="328"/>
      <c r="W24" s="328"/>
      <c r="X24" s="328"/>
    </row>
    <row r="25" spans="1:24" ht="15" customHeight="1" x14ac:dyDescent="0.35">
      <c r="A25" s="19"/>
      <c r="B25" s="19"/>
      <c r="C25" s="19"/>
      <c r="D25" s="19"/>
      <c r="E25" s="19"/>
      <c r="F25" s="19"/>
      <c r="G25" s="19"/>
      <c r="H25" s="19"/>
      <c r="I25" s="19"/>
      <c r="J25" s="19"/>
      <c r="K25" s="19"/>
      <c r="L25" s="19"/>
      <c r="M25" s="19"/>
      <c r="N25" s="19"/>
      <c r="O25" s="19"/>
      <c r="P25" s="19"/>
      <c r="Q25" s="289" t="s">
        <v>2588</v>
      </c>
      <c r="R25" s="163"/>
      <c r="S25" s="215"/>
      <c r="T25" s="328" t="s">
        <v>2813</v>
      </c>
      <c r="U25" s="328"/>
      <c r="V25" s="328"/>
      <c r="W25" s="328"/>
      <c r="X25" s="328"/>
    </row>
    <row r="26" spans="1:24" ht="15" customHeight="1" x14ac:dyDescent="0.35">
      <c r="A26" s="19"/>
      <c r="B26" s="19"/>
      <c r="C26" s="19"/>
      <c r="D26" s="19"/>
      <c r="E26" s="19"/>
      <c r="F26" s="19"/>
      <c r="G26" s="19"/>
      <c r="H26" s="19"/>
      <c r="I26" s="19"/>
      <c r="J26" s="19"/>
      <c r="K26" s="19"/>
      <c r="L26" s="19"/>
      <c r="M26" s="338" t="s">
        <v>2814</v>
      </c>
      <c r="N26" s="338"/>
      <c r="O26" s="338"/>
      <c r="P26" s="19"/>
      <c r="Q26" s="29" t="s">
        <v>2815</v>
      </c>
      <c r="R26" s="167"/>
      <c r="S26" s="217" t="s">
        <v>2816</v>
      </c>
      <c r="T26" s="328" t="s">
        <v>2817</v>
      </c>
      <c r="U26" s="328"/>
      <c r="V26" s="328"/>
      <c r="W26" s="328"/>
      <c r="X26" s="328"/>
    </row>
    <row r="27" spans="1:24" ht="15" customHeight="1" x14ac:dyDescent="0.35">
      <c r="A27" s="334" t="s">
        <v>2818</v>
      </c>
      <c r="B27" s="334"/>
      <c r="C27" s="334"/>
      <c r="D27" s="334"/>
      <c r="E27" s="334"/>
      <c r="F27" s="334"/>
      <c r="G27" s="19"/>
      <c r="H27" s="19"/>
      <c r="I27" s="19"/>
      <c r="J27" s="19"/>
      <c r="K27" s="19"/>
      <c r="L27" s="19"/>
      <c r="M27" s="288" t="s">
        <v>2819</v>
      </c>
      <c r="N27" s="288" t="s">
        <v>2820</v>
      </c>
      <c r="O27" s="20" t="s">
        <v>2821</v>
      </c>
      <c r="P27" s="19"/>
      <c r="Q27" s="29" t="s">
        <v>2822</v>
      </c>
      <c r="R27" s="167"/>
      <c r="S27" s="217" t="s">
        <v>2823</v>
      </c>
      <c r="T27" s="328"/>
      <c r="U27" s="328"/>
      <c r="V27" s="328"/>
      <c r="W27" s="328"/>
      <c r="X27" s="328"/>
    </row>
    <row r="28" spans="1:24" ht="15" customHeight="1" x14ac:dyDescent="0.35">
      <c r="B28" s="20" t="s">
        <v>2824</v>
      </c>
      <c r="C28" s="20" t="s">
        <v>2825</v>
      </c>
      <c r="D28" s="20" t="s">
        <v>2826</v>
      </c>
      <c r="E28" s="288" t="s">
        <v>2827</v>
      </c>
      <c r="F28" s="15" t="s">
        <v>2828</v>
      </c>
      <c r="H28" s="12" t="s">
        <v>2829</v>
      </c>
      <c r="I28" s="12"/>
      <c r="J28" s="12"/>
      <c r="K28" s="12"/>
      <c r="M28" s="300" t="s">
        <v>2830</v>
      </c>
      <c r="N28" s="71"/>
      <c r="O28" s="179"/>
      <c r="Q28" s="29" t="s">
        <v>2831</v>
      </c>
      <c r="R28" s="167"/>
      <c r="S28" s="219" t="s">
        <v>2832</v>
      </c>
      <c r="T28" s="337" t="s">
        <v>2833</v>
      </c>
      <c r="U28" s="337"/>
      <c r="V28" s="337"/>
      <c r="W28" s="337"/>
      <c r="X28" s="337"/>
    </row>
    <row r="29" spans="1:24" ht="15" customHeight="1" x14ac:dyDescent="0.35">
      <c r="B29" s="25" t="s">
        <v>2834</v>
      </c>
      <c r="C29" s="26">
        <v>90000</v>
      </c>
      <c r="D29" s="26">
        <v>90000</v>
      </c>
      <c r="E29" s="26">
        <v>90000</v>
      </c>
      <c r="F29" s="26">
        <v>180000</v>
      </c>
      <c r="H29" s="20" t="s">
        <v>1511</v>
      </c>
      <c r="I29" s="15" t="s">
        <v>2835</v>
      </c>
      <c r="J29" s="20" t="s">
        <v>2836</v>
      </c>
      <c r="K29" s="20" t="s">
        <v>2837</v>
      </c>
      <c r="M29" s="29" t="s">
        <v>2838</v>
      </c>
      <c r="N29" s="72" t="s">
        <v>2839</v>
      </c>
      <c r="O29" s="184" t="s">
        <v>2840</v>
      </c>
      <c r="Q29" s="29" t="s">
        <v>2841</v>
      </c>
      <c r="R29" s="167"/>
      <c r="S29" s="219" t="s">
        <v>2842</v>
      </c>
      <c r="T29" s="328" t="s">
        <v>2843</v>
      </c>
      <c r="U29" s="328"/>
      <c r="V29" s="328"/>
      <c r="W29" s="328"/>
      <c r="X29" s="328"/>
    </row>
    <row r="30" spans="1:24" ht="15" customHeight="1" x14ac:dyDescent="0.35">
      <c r="B30" s="25" t="s">
        <v>57</v>
      </c>
      <c r="C30" s="26">
        <v>15000</v>
      </c>
      <c r="D30" s="26">
        <v>15000</v>
      </c>
      <c r="E30" s="26">
        <v>15000</v>
      </c>
      <c r="F30" s="26">
        <v>15000</v>
      </c>
      <c r="H30" s="289" t="s">
        <v>2844</v>
      </c>
      <c r="I30" s="71"/>
      <c r="J30" s="71"/>
      <c r="K30" s="71"/>
      <c r="M30" s="29" t="s">
        <v>2845</v>
      </c>
      <c r="N30" s="72" t="s">
        <v>2846</v>
      </c>
      <c r="O30" s="184" t="s">
        <v>2847</v>
      </c>
      <c r="Q30" s="29" t="s">
        <v>2848</v>
      </c>
      <c r="R30" s="167"/>
      <c r="S30" s="219" t="s">
        <v>2849</v>
      </c>
      <c r="T30" s="328" t="s">
        <v>2850</v>
      </c>
      <c r="U30" s="328"/>
      <c r="V30" s="328"/>
      <c r="W30" s="328"/>
      <c r="X30" s="328"/>
    </row>
    <row r="31" spans="1:24" ht="15" customHeight="1" x14ac:dyDescent="0.35">
      <c r="B31" s="25" t="s">
        <v>2695</v>
      </c>
      <c r="C31" s="35">
        <v>7.9000000000000001E-2</v>
      </c>
      <c r="D31" s="35">
        <v>7.9000000000000001E-2</v>
      </c>
      <c r="E31" s="35">
        <v>7.9000000000000001E-2</v>
      </c>
      <c r="F31" s="35">
        <v>7.9000000000000001E-2</v>
      </c>
      <c r="H31" s="69" t="s">
        <v>2851</v>
      </c>
      <c r="I31" s="211" t="s">
        <v>2852</v>
      </c>
      <c r="J31" s="164" t="s">
        <v>2853</v>
      </c>
      <c r="K31" s="72" t="s">
        <v>2853</v>
      </c>
      <c r="M31" s="300" t="s">
        <v>2854</v>
      </c>
      <c r="N31" s="71"/>
      <c r="O31" s="179"/>
      <c r="T31" s="328" t="s">
        <v>2855</v>
      </c>
      <c r="U31" s="328"/>
      <c r="V31" s="328"/>
      <c r="W31" s="328"/>
      <c r="X31" s="328"/>
    </row>
    <row r="32" spans="1:24" ht="15" customHeight="1" x14ac:dyDescent="0.35">
      <c r="B32" s="25" t="s">
        <v>2856</v>
      </c>
      <c r="C32" s="49">
        <f>IF(C29&lt;=18200,0.02,IF(C29&lt;=45000,0.21,IF(C29&lt;=135000,0.34,IF(C29&lt;=190000,0.41,0.47))))</f>
        <v>0.34</v>
      </c>
      <c r="D32" s="49">
        <f>IF(D29&lt;=18200,0.02,IF(D29&lt;=45000,0.21,IF(D29&lt;=135000,0.34,IF(D29&lt;=190000,0.41,0.47))))</f>
        <v>0.34</v>
      </c>
      <c r="E32" s="49">
        <f>IF(E29&lt;=18200,0.02,IF(E29&lt;=45000,0.21,IF(E29&lt;=135000,0.34,IF(E29&lt;=190000,0.41,0.47))))</f>
        <v>0.34</v>
      </c>
      <c r="F32" s="49">
        <f>IF(F29&lt;=18200,0.02,IF(F29&lt;=45000,0.21,IF(F29&lt;=135000,0.34,IF(F29&lt;=190000,0.41,0.47))))</f>
        <v>0.41</v>
      </c>
      <c r="H32" s="29" t="s">
        <v>2857</v>
      </c>
      <c r="I32" s="73" t="s">
        <v>2858</v>
      </c>
      <c r="J32" s="164" t="s">
        <v>2859</v>
      </c>
      <c r="K32" s="72" t="s">
        <v>2860</v>
      </c>
      <c r="M32" s="29" t="s">
        <v>2861</v>
      </c>
      <c r="N32" s="72" t="s">
        <v>2862</v>
      </c>
      <c r="O32" s="184" t="s">
        <v>2863</v>
      </c>
      <c r="T32" s="328" t="s">
        <v>2864</v>
      </c>
      <c r="U32" s="328"/>
      <c r="V32" s="328"/>
      <c r="W32" s="328"/>
      <c r="X32" s="328"/>
    </row>
    <row r="33" spans="1:24" ht="15" customHeight="1" x14ac:dyDescent="0.35">
      <c r="A33" s="19"/>
      <c r="B33" s="19"/>
      <c r="C33" s="19"/>
      <c r="D33" s="19"/>
      <c r="E33" s="19"/>
      <c r="F33" s="19"/>
      <c r="G33" s="19"/>
      <c r="H33" s="29" t="s">
        <v>2865</v>
      </c>
      <c r="I33" s="73" t="s">
        <v>2866</v>
      </c>
      <c r="J33" s="164" t="s">
        <v>2867</v>
      </c>
      <c r="K33" s="72" t="s">
        <v>2868</v>
      </c>
      <c r="L33" s="19"/>
      <c r="M33" s="29" t="s">
        <v>2869</v>
      </c>
      <c r="N33" s="72" t="s">
        <v>2870</v>
      </c>
      <c r="O33" s="184" t="s">
        <v>2871</v>
      </c>
      <c r="P33" s="19"/>
      <c r="Q33" s="19"/>
      <c r="R33" s="19"/>
      <c r="S33" s="19"/>
      <c r="T33" s="328" t="s">
        <v>2872</v>
      </c>
      <c r="U33" s="328"/>
      <c r="V33" s="328"/>
      <c r="W33" s="328"/>
      <c r="X33" s="328"/>
    </row>
    <row r="34" spans="1:24" ht="24" customHeight="1" x14ac:dyDescent="0.35">
      <c r="B34" s="5" t="s">
        <v>2873</v>
      </c>
      <c r="C34" s="5"/>
      <c r="D34" s="5"/>
      <c r="E34" s="5"/>
      <c r="F34" s="5"/>
      <c r="H34" s="289" t="s">
        <v>2874</v>
      </c>
      <c r="I34" s="71"/>
      <c r="J34" s="71"/>
      <c r="K34" s="71"/>
      <c r="M34" s="69" t="s">
        <v>2875</v>
      </c>
      <c r="N34" s="73" t="s">
        <v>2876</v>
      </c>
      <c r="O34" s="204" t="s">
        <v>2877</v>
      </c>
    </row>
    <row r="35" spans="1:24" ht="24" customHeight="1" x14ac:dyDescent="0.35">
      <c r="B35" s="301" t="s">
        <v>2878</v>
      </c>
      <c r="C35" s="302">
        <v>30000</v>
      </c>
      <c r="D35" s="302">
        <v>50000</v>
      </c>
      <c r="E35" s="302">
        <v>60000</v>
      </c>
      <c r="F35" s="302">
        <v>120000</v>
      </c>
      <c r="H35" s="60" t="s">
        <v>2879</v>
      </c>
      <c r="I35" s="170" t="s">
        <v>2880</v>
      </c>
      <c r="J35" s="211" t="s">
        <v>2881</v>
      </c>
      <c r="K35" s="170" t="s">
        <v>2882</v>
      </c>
      <c r="M35" s="300" t="s">
        <v>2883</v>
      </c>
      <c r="N35" s="71"/>
      <c r="O35" s="179"/>
    </row>
    <row r="36" spans="1:24" ht="24" customHeight="1" x14ac:dyDescent="0.35">
      <c r="B36" s="29" t="s">
        <v>2884</v>
      </c>
      <c r="C36" s="303">
        <f>30000/C30</f>
        <v>2</v>
      </c>
      <c r="D36" s="303">
        <f>50000/D30</f>
        <v>3.3333333333333335</v>
      </c>
      <c r="E36" s="303">
        <f>60000/E30</f>
        <v>4</v>
      </c>
      <c r="F36" s="303">
        <f>120000/F30</f>
        <v>8</v>
      </c>
      <c r="H36" s="29" t="s">
        <v>2885</v>
      </c>
      <c r="I36" s="73" t="s">
        <v>2886</v>
      </c>
      <c r="J36" s="304" t="s">
        <v>2887</v>
      </c>
      <c r="K36" s="72" t="s">
        <v>2888</v>
      </c>
      <c r="M36" s="60" t="s">
        <v>2889</v>
      </c>
      <c r="N36" s="170" t="s">
        <v>2890</v>
      </c>
      <c r="O36" s="204" t="s">
        <v>2891</v>
      </c>
    </row>
    <row r="37" spans="1:24" ht="24" customHeight="1" x14ac:dyDescent="0.35">
      <c r="B37" s="187" t="s">
        <v>2892</v>
      </c>
      <c r="C37" s="186">
        <f>30000*(C32-0.15)</f>
        <v>5700.0000000000009</v>
      </c>
      <c r="D37" s="186">
        <f>50000*(D32-0.15)</f>
        <v>9500.0000000000018</v>
      </c>
      <c r="E37" s="186">
        <f>60000*(E32-0.15)</f>
        <v>11400.000000000002</v>
      </c>
      <c r="F37" s="186">
        <f>120000*(F32-0.15)</f>
        <v>31200</v>
      </c>
      <c r="H37" s="29" t="s">
        <v>2893</v>
      </c>
      <c r="I37" s="170" t="s">
        <v>2894</v>
      </c>
      <c r="J37" s="304" t="s">
        <v>2895</v>
      </c>
      <c r="K37" s="169" t="s">
        <v>2896</v>
      </c>
      <c r="M37" s="60" t="s">
        <v>2897</v>
      </c>
      <c r="N37" s="170" t="s">
        <v>2898</v>
      </c>
      <c r="O37" s="204" t="s">
        <v>2899</v>
      </c>
    </row>
    <row r="38" spans="1:24" ht="24" customHeight="1" x14ac:dyDescent="0.35">
      <c r="B38" s="187" t="s">
        <v>2900</v>
      </c>
      <c r="C38" s="186">
        <f>C30*((1+C31)^(30000/C30)-1)/C31</f>
        <v>31184.999999999975</v>
      </c>
      <c r="D38" s="186">
        <f>D30*((1+D31)^(50000/D30)-1)/D31</f>
        <v>54771.191263633627</v>
      </c>
      <c r="E38" s="186">
        <f>E30*((1+E31)^(60000/E30)-1)/E31</f>
        <v>67491.855584999939</v>
      </c>
      <c r="F38" s="186">
        <f>F30*((1+F31)^(120000/F30)-1)/F31</f>
        <v>158974.17084028071</v>
      </c>
      <c r="H38" s="29" t="s">
        <v>2901</v>
      </c>
      <c r="I38" s="73" t="s">
        <v>2902</v>
      </c>
      <c r="J38" s="164" t="s">
        <v>2903</v>
      </c>
      <c r="K38" s="72" t="s">
        <v>2904</v>
      </c>
      <c r="M38" s="60" t="s">
        <v>2905</v>
      </c>
      <c r="N38" s="170" t="s">
        <v>2906</v>
      </c>
      <c r="O38" s="204" t="s">
        <v>2907</v>
      </c>
    </row>
    <row r="39" spans="1:24" ht="24" customHeight="1" x14ac:dyDescent="0.35">
      <c r="B39" s="60" t="s">
        <v>2908</v>
      </c>
      <c r="C39" s="220">
        <f>30000*MAX(0,C32-0.3)</f>
        <v>1200.0000000000011</v>
      </c>
      <c r="D39" s="220">
        <f>50000*MAX(0,D32-0.3)</f>
        <v>2000.0000000000018</v>
      </c>
      <c r="E39" s="220">
        <f>60000*MAX(0,E32-0.3)</f>
        <v>2400.0000000000023</v>
      </c>
      <c r="F39" s="220">
        <f>120000*MAX(0,F32-0.3)</f>
        <v>13199.999999999998</v>
      </c>
      <c r="H39" s="289" t="s">
        <v>1448</v>
      </c>
      <c r="I39" s="71"/>
      <c r="J39" s="71"/>
      <c r="K39" s="71"/>
      <c r="M39" s="300" t="s">
        <v>2909</v>
      </c>
      <c r="N39" s="71"/>
      <c r="O39" s="179"/>
    </row>
    <row r="40" spans="1:24" ht="24" customHeight="1" x14ac:dyDescent="0.35">
      <c r="B40" s="187" t="s">
        <v>2910</v>
      </c>
      <c r="C40" s="186">
        <f>C38-C39</f>
        <v>29984.999999999975</v>
      </c>
      <c r="D40" s="186">
        <f>D38-D39</f>
        <v>52771.191263633627</v>
      </c>
      <c r="E40" s="186">
        <f>E38-E39</f>
        <v>65091.855584999939</v>
      </c>
      <c r="F40" s="186">
        <f>F38-F39</f>
        <v>145774.17084028071</v>
      </c>
      <c r="H40" s="222" t="s">
        <v>2911</v>
      </c>
      <c r="I40" s="211" t="s">
        <v>2912</v>
      </c>
      <c r="J40" s="73" t="s">
        <v>2913</v>
      </c>
      <c r="K40" s="73" t="s">
        <v>2914</v>
      </c>
      <c r="M40" s="29" t="s">
        <v>2915</v>
      </c>
      <c r="N40" s="72" t="s">
        <v>2916</v>
      </c>
      <c r="O40" s="184" t="s">
        <v>2917</v>
      </c>
    </row>
    <row r="41" spans="1:24" ht="24" customHeight="1" x14ac:dyDescent="0.35">
      <c r="B41" s="23" t="s">
        <v>2918</v>
      </c>
      <c r="C41" s="188" t="s">
        <v>125</v>
      </c>
      <c r="D41" s="188">
        <f>D40-C40</f>
        <v>22786.191263633653</v>
      </c>
      <c r="E41" s="188">
        <f>E40-C40</f>
        <v>35106.855584999968</v>
      </c>
      <c r="F41" s="188">
        <f>F40-C40</f>
        <v>115789.17084028074</v>
      </c>
      <c r="H41" s="222" t="s">
        <v>2919</v>
      </c>
      <c r="I41" s="211" t="s">
        <v>2920</v>
      </c>
      <c r="J41" s="170" t="s">
        <v>2921</v>
      </c>
      <c r="K41" s="170" t="s">
        <v>2922</v>
      </c>
      <c r="M41" s="29" t="s">
        <v>2923</v>
      </c>
      <c r="N41" s="72" t="s">
        <v>2924</v>
      </c>
      <c r="O41" s="184" t="s">
        <v>2925</v>
      </c>
    </row>
    <row r="42" spans="1:24" ht="24" customHeight="1" x14ac:dyDescent="0.35">
      <c r="B42" s="224" t="s">
        <v>2926</v>
      </c>
      <c r="C42" s="299" t="s">
        <v>125</v>
      </c>
      <c r="D42" s="299">
        <f>IF(C40&gt;0,(D40-C40)/C40,0)</f>
        <v>0.75991966862210014</v>
      </c>
      <c r="E42" s="299">
        <f>IF(C40&gt;0,(E40-C40)/C40,0)</f>
        <v>1.1708139264632316</v>
      </c>
      <c r="F42" s="299">
        <f>IF(C40&gt;0,(F40-C40)/C40,0)</f>
        <v>3.8615698129158194</v>
      </c>
      <c r="M42" s="29" t="s">
        <v>2927</v>
      </c>
      <c r="N42" s="72" t="s">
        <v>2928</v>
      </c>
      <c r="O42" s="184" t="s">
        <v>2929</v>
      </c>
    </row>
    <row r="43" spans="1:24" ht="6" customHeight="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row>
    <row r="44" spans="1:24" ht="19.5" customHeight="1" x14ac:dyDescent="0.35">
      <c r="A44" s="12" t="s">
        <v>2930</v>
      </c>
      <c r="B44" s="12"/>
      <c r="C44" s="12"/>
      <c r="D44" s="12"/>
      <c r="E44" s="12"/>
      <c r="F44" s="12"/>
    </row>
    <row r="46" spans="1:24" ht="15" customHeight="1" x14ac:dyDescent="0.35">
      <c r="B46" s="67" t="s">
        <v>2931</v>
      </c>
      <c r="C46" s="67" t="s">
        <v>2932</v>
      </c>
      <c r="D46" s="67" t="s">
        <v>2933</v>
      </c>
    </row>
    <row r="47" spans="1:24" ht="15" customHeight="1" x14ac:dyDescent="0.35">
      <c r="B47" s="67" t="s">
        <v>2934</v>
      </c>
      <c r="C47" s="67">
        <v>1000</v>
      </c>
      <c r="D47" s="67">
        <v>50000</v>
      </c>
    </row>
    <row r="48" spans="1:24" ht="15" customHeight="1" x14ac:dyDescent="0.35">
      <c r="B48" s="67" t="s">
        <v>2935</v>
      </c>
      <c r="C48" s="67">
        <v>3000</v>
      </c>
      <c r="D48" s="67">
        <v>50000</v>
      </c>
    </row>
    <row r="49" spans="1:24" ht="15" customHeight="1" x14ac:dyDescent="0.35">
      <c r="B49" s="67" t="s">
        <v>2936</v>
      </c>
      <c r="C49" s="67">
        <v>9500</v>
      </c>
      <c r="D49" s="67">
        <v>48000</v>
      </c>
    </row>
    <row r="50" spans="1:24" ht="15" customHeight="1" x14ac:dyDescent="0.35">
      <c r="B50" s="67" t="s">
        <v>2937</v>
      </c>
      <c r="C50" s="67">
        <v>13000</v>
      </c>
      <c r="D50" s="67">
        <v>44500</v>
      </c>
    </row>
    <row r="51" spans="1:24" ht="15" customHeight="1" x14ac:dyDescent="0.35">
      <c r="B51" s="67" t="s">
        <v>2938</v>
      </c>
      <c r="C51" s="67">
        <v>16000</v>
      </c>
      <c r="D51" s="67">
        <v>41500</v>
      </c>
    </row>
    <row r="63" spans="1:24" ht="36" customHeight="1" x14ac:dyDescent="0.35">
      <c r="A63" s="2" t="s">
        <v>2939</v>
      </c>
      <c r="B63" s="2"/>
      <c r="C63" s="2"/>
      <c r="D63" s="2"/>
      <c r="E63" s="2"/>
      <c r="F63" s="2"/>
      <c r="G63" s="2"/>
      <c r="H63" s="2"/>
      <c r="I63" s="2"/>
      <c r="J63" s="2"/>
      <c r="K63" s="2"/>
      <c r="L63" s="2"/>
      <c r="M63" s="2"/>
      <c r="N63" s="2"/>
      <c r="O63" s="2"/>
      <c r="P63" s="2"/>
      <c r="Q63" s="2"/>
      <c r="R63" s="2"/>
      <c r="S63" s="2"/>
      <c r="T63" s="2"/>
      <c r="U63" s="2"/>
      <c r="V63" s="2"/>
      <c r="W63" s="2"/>
      <c r="X63" s="2"/>
    </row>
  </sheetData>
  <mergeCells count="42">
    <mergeCell ref="T32:X32"/>
    <mergeCell ref="T33:X33"/>
    <mergeCell ref="B34:F34"/>
    <mergeCell ref="A44:F44"/>
    <mergeCell ref="A63:X63"/>
    <mergeCell ref="H28:K28"/>
    <mergeCell ref="T28:X28"/>
    <mergeCell ref="T29:X29"/>
    <mergeCell ref="T30:X30"/>
    <mergeCell ref="T31:X31"/>
    <mergeCell ref="T25:X25"/>
    <mergeCell ref="M26:O26"/>
    <mergeCell ref="T26:X26"/>
    <mergeCell ref="A27:F27"/>
    <mergeCell ref="T27:X27"/>
    <mergeCell ref="T20:X20"/>
    <mergeCell ref="T21:X21"/>
    <mergeCell ref="T22:X22"/>
    <mergeCell ref="T23:X23"/>
    <mergeCell ref="T24:X24"/>
    <mergeCell ref="T15:X15"/>
    <mergeCell ref="T16:X16"/>
    <mergeCell ref="T17:X17"/>
    <mergeCell ref="T18:X18"/>
    <mergeCell ref="T19:X19"/>
    <mergeCell ref="T11:X11"/>
    <mergeCell ref="T12:X12"/>
    <mergeCell ref="T13:X13"/>
    <mergeCell ref="H14:K14"/>
    <mergeCell ref="T14:X14"/>
    <mergeCell ref="T6:X6"/>
    <mergeCell ref="T7:X7"/>
    <mergeCell ref="T8:X8"/>
    <mergeCell ref="T9:X9"/>
    <mergeCell ref="T10:X10"/>
    <mergeCell ref="A1:X1"/>
    <mergeCell ref="A2:X2"/>
    <mergeCell ref="A4:F4"/>
    <mergeCell ref="H4:K4"/>
    <mergeCell ref="M4:O4"/>
    <mergeCell ref="Q4:S4"/>
    <mergeCell ref="T4:X4"/>
  </mergeCells>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A8C6B"/>
  </sheetPr>
  <dimension ref="A1:C50"/>
  <sheetViews>
    <sheetView showGridLines="0" topLeftCell="A36" zoomScaleNormal="100" workbookViewId="0">
      <pane xSplit="2" topLeftCell="C1" activePane="topRight" state="frozen"/>
      <selection pane="topRight" sqref="A1:C1"/>
    </sheetView>
  </sheetViews>
  <sheetFormatPr defaultColWidth="8.6328125" defaultRowHeight="14.5" x14ac:dyDescent="0.35"/>
  <cols>
    <col min="1" max="1" width="38" customWidth="1"/>
    <col min="2" max="2" width="22" customWidth="1"/>
    <col min="3" max="3" width="38" customWidth="1"/>
  </cols>
  <sheetData>
    <row r="1" spans="1:3" ht="39.75" customHeight="1" x14ac:dyDescent="0.35">
      <c r="A1" s="314" t="s">
        <v>359</v>
      </c>
      <c r="B1" s="314"/>
      <c r="C1" s="314"/>
    </row>
    <row r="2" spans="1:3" ht="18" customHeight="1" x14ac:dyDescent="0.35">
      <c r="A2" s="315" t="s">
        <v>360</v>
      </c>
      <c r="B2" s="315"/>
      <c r="C2" s="315"/>
    </row>
    <row r="3" spans="1:3" ht="19.5" customHeight="1" x14ac:dyDescent="0.35">
      <c r="A3" s="7" t="s">
        <v>361</v>
      </c>
      <c r="B3" s="7"/>
      <c r="C3" s="7"/>
    </row>
    <row r="4" spans="1:3" ht="15" customHeight="1" x14ac:dyDescent="0.35">
      <c r="A4" s="75" t="s">
        <v>362</v>
      </c>
      <c r="B4" s="102">
        <v>35</v>
      </c>
      <c r="C4" s="76" t="s">
        <v>363</v>
      </c>
    </row>
    <row r="5" spans="1:3" ht="21.75" customHeight="1" x14ac:dyDescent="0.35">
      <c r="A5" s="75" t="s">
        <v>364</v>
      </c>
      <c r="B5" s="102">
        <v>67</v>
      </c>
      <c r="C5" s="76" t="s">
        <v>365</v>
      </c>
    </row>
    <row r="6" spans="1:3" ht="21.75" customHeight="1" x14ac:dyDescent="0.35">
      <c r="A6" s="75" t="s">
        <v>366</v>
      </c>
      <c r="B6" s="26">
        <v>100000</v>
      </c>
      <c r="C6" s="76" t="s">
        <v>367</v>
      </c>
    </row>
    <row r="7" spans="1:3" ht="21.75" customHeight="1" x14ac:dyDescent="0.35">
      <c r="A7" s="75" t="s">
        <v>368</v>
      </c>
      <c r="B7" s="26">
        <v>95000</v>
      </c>
      <c r="C7" s="76" t="s">
        <v>369</v>
      </c>
    </row>
    <row r="8" spans="1:3" ht="19.5" customHeight="1" x14ac:dyDescent="0.35">
      <c r="A8" s="7" t="s">
        <v>370</v>
      </c>
      <c r="B8" s="7"/>
      <c r="C8" s="7"/>
    </row>
    <row r="9" spans="1:3" ht="21.75" customHeight="1" x14ac:dyDescent="0.35">
      <c r="A9" s="75" t="s">
        <v>371</v>
      </c>
      <c r="B9" s="35">
        <v>0.115</v>
      </c>
      <c r="C9" s="76" t="s">
        <v>372</v>
      </c>
    </row>
    <row r="10" spans="1:3" ht="21.75" customHeight="1" x14ac:dyDescent="0.35">
      <c r="A10" s="75" t="s">
        <v>373</v>
      </c>
      <c r="B10" s="35">
        <v>0.12</v>
      </c>
      <c r="C10" s="76" t="s">
        <v>374</v>
      </c>
    </row>
    <row r="11" spans="1:3" ht="21.75" customHeight="1" x14ac:dyDescent="0.35">
      <c r="A11" s="75" t="s">
        <v>375</v>
      </c>
      <c r="B11" s="26">
        <v>30000</v>
      </c>
      <c r="C11" s="76" t="s">
        <v>376</v>
      </c>
    </row>
    <row r="12" spans="1:3" ht="19.5" customHeight="1" x14ac:dyDescent="0.35">
      <c r="A12" s="7" t="s">
        <v>377</v>
      </c>
      <c r="B12" s="7"/>
      <c r="C12" s="7"/>
    </row>
    <row r="13" spans="1:3" ht="21.75" customHeight="1" x14ac:dyDescent="0.35">
      <c r="A13" s="75" t="s">
        <v>378</v>
      </c>
      <c r="B13" s="26">
        <v>5000</v>
      </c>
      <c r="C13" s="76" t="s">
        <v>379</v>
      </c>
    </row>
    <row r="14" spans="1:3" ht="21.75" customHeight="1" x14ac:dyDescent="0.35">
      <c r="A14" s="75" t="s">
        <v>380</v>
      </c>
      <c r="B14" s="35">
        <v>2.5000000000000001E-2</v>
      </c>
      <c r="C14" s="76" t="s">
        <v>381</v>
      </c>
    </row>
    <row r="15" spans="1:3" ht="19.5" customHeight="1" x14ac:dyDescent="0.35">
      <c r="A15" s="7" t="s">
        <v>382</v>
      </c>
      <c r="B15" s="7"/>
      <c r="C15" s="7"/>
    </row>
    <row r="16" spans="1:3" ht="21.75" customHeight="1" x14ac:dyDescent="0.35">
      <c r="A16" s="75" t="s">
        <v>383</v>
      </c>
      <c r="B16" s="26">
        <v>2000</v>
      </c>
      <c r="C16" s="76" t="s">
        <v>384</v>
      </c>
    </row>
    <row r="17" spans="1:3" ht="21.75" customHeight="1" x14ac:dyDescent="0.35">
      <c r="A17" s="75" t="s">
        <v>385</v>
      </c>
      <c r="B17" s="26">
        <v>120000</v>
      </c>
      <c r="C17" s="76" t="s">
        <v>386</v>
      </c>
    </row>
    <row r="18" spans="1:3" ht="15" customHeight="1" x14ac:dyDescent="0.35">
      <c r="A18" s="75" t="s">
        <v>387</v>
      </c>
      <c r="B18" s="35">
        <v>2.5000000000000001E-2</v>
      </c>
      <c r="C18" s="76" t="s">
        <v>388</v>
      </c>
    </row>
    <row r="19" spans="1:3" ht="19.5" customHeight="1" x14ac:dyDescent="0.35">
      <c r="A19" s="7" t="s">
        <v>389</v>
      </c>
      <c r="B19" s="7"/>
      <c r="C19" s="7"/>
    </row>
    <row r="20" spans="1:3" ht="21.75" customHeight="1" x14ac:dyDescent="0.35">
      <c r="A20" s="75" t="s">
        <v>390</v>
      </c>
      <c r="B20" s="35">
        <v>7.4999999999999997E-2</v>
      </c>
      <c r="C20" s="76" t="s">
        <v>391</v>
      </c>
    </row>
    <row r="21" spans="1:3" ht="21.75" customHeight="1" x14ac:dyDescent="0.35">
      <c r="A21" s="75" t="s">
        <v>392</v>
      </c>
      <c r="B21" s="103" t="s">
        <v>106</v>
      </c>
      <c r="C21" s="76" t="s">
        <v>393</v>
      </c>
    </row>
    <row r="22" spans="1:3" ht="21.75" customHeight="1" x14ac:dyDescent="0.35">
      <c r="A22" s="75" t="s">
        <v>315</v>
      </c>
      <c r="B22" s="35">
        <v>2.5000000000000001E-2</v>
      </c>
      <c r="C22" s="76" t="s">
        <v>394</v>
      </c>
    </row>
    <row r="23" spans="1:3" ht="19.5" customHeight="1" x14ac:dyDescent="0.35">
      <c r="A23" s="7" t="s">
        <v>395</v>
      </c>
      <c r="B23" s="7"/>
      <c r="C23" s="7"/>
    </row>
    <row r="24" spans="1:3" ht="15" customHeight="1" x14ac:dyDescent="0.35">
      <c r="A24" s="75" t="s">
        <v>396</v>
      </c>
      <c r="B24" s="26">
        <v>78</v>
      </c>
      <c r="C24" s="76" t="s">
        <v>397</v>
      </c>
    </row>
    <row r="25" spans="1:3" ht="21.75" customHeight="1" x14ac:dyDescent="0.35">
      <c r="A25" s="75" t="s">
        <v>321</v>
      </c>
      <c r="B25" s="35">
        <v>6.4999999999999997E-3</v>
      </c>
      <c r="C25" s="76" t="s">
        <v>398</v>
      </c>
    </row>
    <row r="26" spans="1:3" ht="21.75" customHeight="1" x14ac:dyDescent="0.35">
      <c r="A26" s="75" t="s">
        <v>399</v>
      </c>
      <c r="B26" s="26">
        <v>0</v>
      </c>
      <c r="C26" s="76" t="s">
        <v>400</v>
      </c>
    </row>
    <row r="27" spans="1:3" ht="21.75" customHeight="1" x14ac:dyDescent="0.35">
      <c r="A27" s="75" t="s">
        <v>401</v>
      </c>
      <c r="B27" s="35">
        <v>1E-3</v>
      </c>
      <c r="C27" s="76" t="s">
        <v>402</v>
      </c>
    </row>
    <row r="28" spans="1:3" ht="19.5" customHeight="1" x14ac:dyDescent="0.35">
      <c r="A28" s="7" t="s">
        <v>403</v>
      </c>
      <c r="B28" s="7"/>
      <c r="C28" s="7"/>
    </row>
    <row r="29" spans="1:3" ht="21.75" customHeight="1" x14ac:dyDescent="0.35">
      <c r="A29" s="75" t="s">
        <v>404</v>
      </c>
      <c r="B29" s="26">
        <v>300</v>
      </c>
      <c r="C29" s="76" t="s">
        <v>405</v>
      </c>
    </row>
    <row r="30" spans="1:3" ht="15" customHeight="1" x14ac:dyDescent="0.35">
      <c r="A30" s="75" t="s">
        <v>406</v>
      </c>
      <c r="B30" s="26">
        <v>200</v>
      </c>
      <c r="C30" s="76" t="s">
        <v>407</v>
      </c>
    </row>
    <row r="31" spans="1:3" ht="21.75" customHeight="1" x14ac:dyDescent="0.35">
      <c r="A31" s="75" t="s">
        <v>408</v>
      </c>
      <c r="B31" s="26">
        <v>400</v>
      </c>
      <c r="C31" s="76" t="s">
        <v>409</v>
      </c>
    </row>
    <row r="32" spans="1:3" ht="21.75" customHeight="1" x14ac:dyDescent="0.35">
      <c r="A32" s="75" t="s">
        <v>410</v>
      </c>
      <c r="B32" s="35">
        <v>0.03</v>
      </c>
      <c r="C32" s="76" t="s">
        <v>411</v>
      </c>
    </row>
    <row r="33" spans="1:3" ht="19.5" customHeight="1" x14ac:dyDescent="0.35">
      <c r="A33" s="7" t="s">
        <v>412</v>
      </c>
      <c r="B33" s="7"/>
      <c r="C33" s="7"/>
    </row>
    <row r="34" spans="1:3" ht="21.75" customHeight="1" x14ac:dyDescent="0.35">
      <c r="A34" s="75" t="s">
        <v>413</v>
      </c>
      <c r="B34" s="35">
        <v>0.15</v>
      </c>
      <c r="C34" s="76" t="s">
        <v>414</v>
      </c>
    </row>
    <row r="35" spans="1:3" ht="21.75" customHeight="1" x14ac:dyDescent="0.35">
      <c r="A35" s="75" t="s">
        <v>415</v>
      </c>
      <c r="B35" s="35">
        <v>0.15</v>
      </c>
      <c r="C35" s="76" t="s">
        <v>416</v>
      </c>
    </row>
    <row r="36" spans="1:3" ht="21.75" customHeight="1" x14ac:dyDescent="0.35">
      <c r="A36" s="75" t="s">
        <v>417</v>
      </c>
      <c r="B36" s="35">
        <v>0</v>
      </c>
      <c r="C36" s="76" t="s">
        <v>418</v>
      </c>
    </row>
    <row r="37" spans="1:3" ht="21.75" customHeight="1" x14ac:dyDescent="0.35">
      <c r="A37" s="75" t="s">
        <v>419</v>
      </c>
      <c r="B37" s="26">
        <v>250000</v>
      </c>
      <c r="C37" s="76" t="s">
        <v>420</v>
      </c>
    </row>
    <row r="38" spans="1:3" ht="21.75" customHeight="1" x14ac:dyDescent="0.35">
      <c r="A38" s="75" t="s">
        <v>421</v>
      </c>
      <c r="B38" s="35">
        <v>0.15</v>
      </c>
      <c r="C38" s="76" t="s">
        <v>422</v>
      </c>
    </row>
    <row r="39" spans="1:3" ht="19.5" customHeight="1" x14ac:dyDescent="0.35">
      <c r="A39" s="7" t="s">
        <v>423</v>
      </c>
      <c r="B39" s="7"/>
      <c r="C39" s="7"/>
    </row>
    <row r="40" spans="1:3" ht="21.75" customHeight="1" x14ac:dyDescent="0.35">
      <c r="A40" s="75" t="s">
        <v>424</v>
      </c>
      <c r="B40" s="35">
        <v>3.5000000000000003E-2</v>
      </c>
      <c r="C40" s="76" t="s">
        <v>425</v>
      </c>
    </row>
    <row r="41" spans="1:3" ht="21.75" customHeight="1" x14ac:dyDescent="0.35">
      <c r="A41" s="75" t="s">
        <v>426</v>
      </c>
      <c r="B41" s="26">
        <v>1900000</v>
      </c>
      <c r="C41" s="76" t="s">
        <v>427</v>
      </c>
    </row>
    <row r="42" spans="1:3" ht="21.75" customHeight="1" x14ac:dyDescent="0.35">
      <c r="A42" s="75" t="s">
        <v>428</v>
      </c>
      <c r="B42" s="26">
        <v>500</v>
      </c>
      <c r="C42" s="76" t="s">
        <v>429</v>
      </c>
    </row>
    <row r="43" spans="1:3" ht="19.5" customHeight="1" x14ac:dyDescent="0.35">
      <c r="A43" s="7" t="s">
        <v>430</v>
      </c>
      <c r="B43" s="7"/>
      <c r="C43" s="7"/>
    </row>
    <row r="44" spans="1:3" ht="15.75" customHeight="1" x14ac:dyDescent="0.35">
      <c r="A44" s="1" t="s">
        <v>431</v>
      </c>
      <c r="B44" s="1"/>
      <c r="C44" s="1"/>
    </row>
    <row r="45" spans="1:3" ht="15.75" customHeight="1" x14ac:dyDescent="0.35">
      <c r="A45" s="1" t="s">
        <v>432</v>
      </c>
      <c r="B45" s="1"/>
      <c r="C45" s="1"/>
    </row>
    <row r="46" spans="1:3" ht="15.75" customHeight="1" x14ac:dyDescent="0.35">
      <c r="A46" s="1" t="s">
        <v>433</v>
      </c>
      <c r="B46" s="1"/>
      <c r="C46" s="1"/>
    </row>
    <row r="47" spans="1:3" ht="15.75" customHeight="1" x14ac:dyDescent="0.35">
      <c r="A47" s="1" t="s">
        <v>434</v>
      </c>
      <c r="B47" s="1"/>
      <c r="C47" s="1"/>
    </row>
    <row r="48" spans="1:3" ht="15.75" customHeight="1" x14ac:dyDescent="0.35">
      <c r="A48" s="1" t="s">
        <v>435</v>
      </c>
      <c r="B48" s="1"/>
      <c r="C48" s="1"/>
    </row>
    <row r="49" spans="1:3" ht="15.75" customHeight="1" x14ac:dyDescent="0.35">
      <c r="A49" s="1" t="s">
        <v>436</v>
      </c>
      <c r="B49" s="1"/>
      <c r="C49" s="1"/>
    </row>
    <row r="50" spans="1:3" ht="15.75" customHeight="1" x14ac:dyDescent="0.35">
      <c r="A50" s="1" t="s">
        <v>437</v>
      </c>
      <c r="B50" s="1"/>
      <c r="C50" s="1"/>
    </row>
  </sheetData>
  <mergeCells count="19">
    <mergeCell ref="A47:C47"/>
    <mergeCell ref="A48:C48"/>
    <mergeCell ref="A49:C49"/>
    <mergeCell ref="A50:C50"/>
    <mergeCell ref="A39:C39"/>
    <mergeCell ref="A43:C43"/>
    <mergeCell ref="A44:C44"/>
    <mergeCell ref="A45:C45"/>
    <mergeCell ref="A46:C46"/>
    <mergeCell ref="A15:C15"/>
    <mergeCell ref="A19:C19"/>
    <mergeCell ref="A23:C23"/>
    <mergeCell ref="A28:C28"/>
    <mergeCell ref="A33:C33"/>
    <mergeCell ref="A1:C1"/>
    <mergeCell ref="A2:C2"/>
    <mergeCell ref="A3:C3"/>
    <mergeCell ref="A8:C8"/>
    <mergeCell ref="A12:C12"/>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A8C6B"/>
  </sheetPr>
  <dimension ref="A1:C36"/>
  <sheetViews>
    <sheetView showGridLines="0" topLeftCell="A12" zoomScaleNormal="100" workbookViewId="0">
      <selection sqref="A1:C1"/>
    </sheetView>
  </sheetViews>
  <sheetFormatPr defaultColWidth="8.6328125" defaultRowHeight="14.5" x14ac:dyDescent="0.35"/>
  <cols>
    <col min="1" max="1" width="32" customWidth="1"/>
    <col min="2" max="3" width="22" customWidth="1"/>
  </cols>
  <sheetData>
    <row r="1" spans="1:3" ht="39.75" customHeight="1" x14ac:dyDescent="0.35">
      <c r="A1" s="318" t="s">
        <v>463</v>
      </c>
      <c r="B1" s="318"/>
      <c r="C1" s="318"/>
    </row>
    <row r="2" spans="1:3" ht="15.75" customHeight="1" x14ac:dyDescent="0.35">
      <c r="A2" s="317" t="s">
        <v>464</v>
      </c>
      <c r="B2" s="317"/>
      <c r="C2" s="317"/>
    </row>
    <row r="3" spans="1:3" ht="19.5" customHeight="1" x14ac:dyDescent="0.35">
      <c r="A3" s="7" t="s">
        <v>465</v>
      </c>
      <c r="B3" s="7"/>
      <c r="C3" s="7"/>
    </row>
    <row r="4" spans="1:3" ht="15" customHeight="1" x14ac:dyDescent="0.35">
      <c r="A4" s="118" t="s">
        <v>466</v>
      </c>
      <c r="B4" s="319">
        <f>Parameters!B4</f>
        <v>35</v>
      </c>
      <c r="C4" s="319"/>
    </row>
    <row r="5" spans="1:3" ht="15" customHeight="1" x14ac:dyDescent="0.35">
      <c r="A5" s="118" t="s">
        <v>467</v>
      </c>
      <c r="B5" s="319">
        <f>Parameters!B5</f>
        <v>67</v>
      </c>
      <c r="C5" s="319"/>
    </row>
    <row r="6" spans="1:3" ht="15" customHeight="1" x14ac:dyDescent="0.35">
      <c r="A6" s="118" t="s">
        <v>468</v>
      </c>
      <c r="B6" s="319">
        <f>Parameters!B5-Parameters!B4</f>
        <v>32</v>
      </c>
      <c r="C6" s="319"/>
    </row>
    <row r="7" spans="1:3" ht="15" customHeight="1" x14ac:dyDescent="0.35">
      <c r="A7" s="118" t="s">
        <v>469</v>
      </c>
      <c r="B7" s="320">
        <f>Parameters!B6</f>
        <v>100000</v>
      </c>
      <c r="C7" s="320"/>
    </row>
    <row r="8" spans="1:3" ht="15" customHeight="1" x14ac:dyDescent="0.35">
      <c r="A8" s="118" t="s">
        <v>470</v>
      </c>
      <c r="B8" s="320">
        <f>Parameters!B7</f>
        <v>95000</v>
      </c>
      <c r="C8" s="320"/>
    </row>
    <row r="9" spans="1:3" ht="15" customHeight="1" x14ac:dyDescent="0.35">
      <c r="A9" s="118" t="s">
        <v>471</v>
      </c>
      <c r="B9" s="321">
        <f>Parameters!B9</f>
        <v>0.115</v>
      </c>
      <c r="C9" s="321"/>
    </row>
    <row r="10" spans="1:3" ht="15" customHeight="1" x14ac:dyDescent="0.35">
      <c r="A10" s="118" t="s">
        <v>472</v>
      </c>
      <c r="B10" s="320">
        <f>Parameters!B13</f>
        <v>5000</v>
      </c>
      <c r="C10" s="320"/>
    </row>
    <row r="11" spans="1:3" ht="15" customHeight="1" x14ac:dyDescent="0.35">
      <c r="A11" s="118" t="s">
        <v>473</v>
      </c>
      <c r="B11" s="320">
        <f>Parameters!B16</f>
        <v>2000</v>
      </c>
      <c r="C11" s="320"/>
    </row>
    <row r="12" spans="1:3" ht="15" customHeight="1" x14ac:dyDescent="0.35">
      <c r="A12" s="118" t="s">
        <v>474</v>
      </c>
      <c r="B12" s="321">
        <f>Parameters!B20</f>
        <v>7.4999999999999997E-2</v>
      </c>
      <c r="C12" s="321"/>
    </row>
    <row r="13" spans="1:3" ht="15" customHeight="1" x14ac:dyDescent="0.35">
      <c r="A13" s="118" t="s">
        <v>475</v>
      </c>
      <c r="B13" s="321">
        <f>Parameters!B22</f>
        <v>2.5000000000000001E-2</v>
      </c>
      <c r="C13" s="321"/>
    </row>
    <row r="14" spans="1:3" ht="15" customHeight="1" x14ac:dyDescent="0.35">
      <c r="A14" s="118" t="s">
        <v>476</v>
      </c>
      <c r="B14" s="321">
        <f>(1+Parameters!B20)/(1+Parameters!B22)-1</f>
        <v>4.8780487804878092E-2</v>
      </c>
      <c r="C14" s="321"/>
    </row>
    <row r="15" spans="1:3" ht="15" customHeight="1" x14ac:dyDescent="0.35">
      <c r="A15" s="118" t="s">
        <v>477</v>
      </c>
      <c r="B15" s="321">
        <f>Parameters!B25</f>
        <v>6.4999999999999997E-3</v>
      </c>
      <c r="C15" s="321"/>
    </row>
    <row r="16" spans="1:3" ht="19.5" customHeight="1" x14ac:dyDescent="0.35">
      <c r="A16" s="7" t="s">
        <v>478</v>
      </c>
      <c r="B16" s="7"/>
      <c r="C16" s="7"/>
    </row>
    <row r="17" spans="1:3" ht="15" customHeight="1" x14ac:dyDescent="0.35">
      <c r="A17" s="118" t="s">
        <v>479</v>
      </c>
      <c r="B17" s="320">
        <f>'30-Year Projection'!P33</f>
        <v>2199286.4863808248</v>
      </c>
      <c r="C17" s="320"/>
    </row>
    <row r="18" spans="1:3" ht="15" customHeight="1" x14ac:dyDescent="0.35">
      <c r="A18" s="118" t="s">
        <v>480</v>
      </c>
      <c r="B18" s="320">
        <f>'Real Returns'!F33</f>
        <v>1048493.7449994171</v>
      </c>
      <c r="C18" s="320"/>
    </row>
    <row r="19" spans="1:3" ht="15" customHeight="1" x14ac:dyDescent="0.35">
      <c r="A19" s="118" t="s">
        <v>481</v>
      </c>
      <c r="B19" s="320">
        <f>'30-Year Projection'!F34</f>
        <v>588023.52096028544</v>
      </c>
      <c r="C19" s="320"/>
    </row>
    <row r="20" spans="1:3" ht="15" customHeight="1" x14ac:dyDescent="0.35">
      <c r="A20" s="118" t="s">
        <v>482</v>
      </c>
      <c r="B20" s="320">
        <f>'30-Year Projection'!G34</f>
        <v>219513.51581635792</v>
      </c>
      <c r="C20" s="320"/>
    </row>
    <row r="21" spans="1:3" ht="15" customHeight="1" x14ac:dyDescent="0.35">
      <c r="A21" s="118" t="s">
        <v>483</v>
      </c>
      <c r="B21" s="320">
        <f>'30-Year Projection'!H34</f>
        <v>87805.406326543205</v>
      </c>
      <c r="C21" s="320"/>
    </row>
    <row r="22" spans="1:3" ht="15" customHeight="1" x14ac:dyDescent="0.35">
      <c r="A22" s="118" t="s">
        <v>484</v>
      </c>
      <c r="B22" s="320">
        <f>'30-Year Projection'!I34</f>
        <v>895342.44310318679</v>
      </c>
      <c r="C22" s="320"/>
    </row>
    <row r="23" spans="1:3" ht="15" customHeight="1" x14ac:dyDescent="0.35">
      <c r="A23" s="118" t="s">
        <v>485</v>
      </c>
      <c r="B23" s="320">
        <f>'30-Year Projection'!J34</f>
        <v>1795064.3750172381</v>
      </c>
      <c r="C23" s="320"/>
    </row>
    <row r="24" spans="1:3" ht="15" customHeight="1" x14ac:dyDescent="0.35">
      <c r="A24" s="118" t="s">
        <v>486</v>
      </c>
      <c r="B24" s="320">
        <f>'30-Year Projection'!K34</f>
        <v>121130.55551649649</v>
      </c>
      <c r="C24" s="320"/>
    </row>
    <row r="25" spans="1:3" ht="15" customHeight="1" x14ac:dyDescent="0.35">
      <c r="A25" s="118" t="s">
        <v>487</v>
      </c>
      <c r="B25" s="320">
        <f>'30-Year Projection'!L34</f>
        <v>269259.6562525857</v>
      </c>
      <c r="C25" s="320"/>
    </row>
    <row r="26" spans="1:3" ht="15" customHeight="1" x14ac:dyDescent="0.35">
      <c r="A26" s="118" t="s">
        <v>488</v>
      </c>
      <c r="B26" s="320">
        <f>'30-Year Projection'!M34</f>
        <v>157912.24583482728</v>
      </c>
      <c r="C26" s="320"/>
    </row>
    <row r="27" spans="1:3" ht="15" customHeight="1" x14ac:dyDescent="0.35">
      <c r="A27" s="118" t="s">
        <v>489</v>
      </c>
      <c r="B27" s="320">
        <f>'30-Year Projection'!N34</f>
        <v>42817.874135689824</v>
      </c>
      <c r="C27" s="320"/>
    </row>
    <row r="28" spans="1:3" ht="19.5" customHeight="1" x14ac:dyDescent="0.35">
      <c r="A28" s="7" t="s">
        <v>490</v>
      </c>
      <c r="B28" s="7"/>
      <c r="C28" s="7"/>
    </row>
    <row r="29" spans="1:3" ht="15" customHeight="1" x14ac:dyDescent="0.35">
      <c r="A29" s="118" t="s">
        <v>491</v>
      </c>
      <c r="B29" s="320">
        <f>'30-Year Projection'!P33*0.04</f>
        <v>87971.459455232995</v>
      </c>
      <c r="C29" s="320"/>
    </row>
    <row r="30" spans="1:3" ht="15" customHeight="1" x14ac:dyDescent="0.35">
      <c r="A30" s="118" t="s">
        <v>492</v>
      </c>
      <c r="B30" s="320">
        <f>'30-Year Projection'!P33*0.05</f>
        <v>109964.32431904125</v>
      </c>
      <c r="C30" s="320"/>
    </row>
    <row r="31" spans="1:3" ht="15" customHeight="1" x14ac:dyDescent="0.35">
      <c r="A31" s="118" t="s">
        <v>493</v>
      </c>
      <c r="B31" s="320">
        <f>'30-Year Projection'!P33*0.04/12</f>
        <v>7330.9549546027492</v>
      </c>
      <c r="C31" s="320"/>
    </row>
    <row r="32" spans="1:3" ht="15" customHeight="1" x14ac:dyDescent="0.35">
      <c r="A32" s="118" t="s">
        <v>494</v>
      </c>
      <c r="B32" s="320">
        <v>28514</v>
      </c>
      <c r="C32" s="320"/>
    </row>
    <row r="33" spans="1:3" ht="15" customHeight="1" x14ac:dyDescent="0.35">
      <c r="A33" s="118" t="s">
        <v>495</v>
      </c>
      <c r="B33" s="320">
        <v>52085</v>
      </c>
      <c r="C33" s="320"/>
    </row>
    <row r="34" spans="1:3" ht="15" customHeight="1" x14ac:dyDescent="0.35">
      <c r="A34" s="118" t="s">
        <v>496</v>
      </c>
      <c r="B34" s="320">
        <v>73337</v>
      </c>
      <c r="C34" s="320"/>
    </row>
    <row r="35" spans="1:3" ht="13.5" customHeight="1" x14ac:dyDescent="0.35"/>
    <row r="36" spans="1:3" ht="49.5" customHeight="1" x14ac:dyDescent="0.35">
      <c r="A36" s="2" t="s">
        <v>497</v>
      </c>
      <c r="B36" s="2"/>
      <c r="C36" s="2"/>
    </row>
  </sheetData>
  <mergeCells count="35">
    <mergeCell ref="B31:C31"/>
    <mergeCell ref="B32:C32"/>
    <mergeCell ref="B33:C33"/>
    <mergeCell ref="B34:C34"/>
    <mergeCell ref="A36:C36"/>
    <mergeCell ref="B26:C26"/>
    <mergeCell ref="B27:C27"/>
    <mergeCell ref="A28:C28"/>
    <mergeCell ref="B29:C29"/>
    <mergeCell ref="B30:C30"/>
    <mergeCell ref="B21:C21"/>
    <mergeCell ref="B22:C22"/>
    <mergeCell ref="B23:C23"/>
    <mergeCell ref="B24:C24"/>
    <mergeCell ref="B25:C25"/>
    <mergeCell ref="A16:C16"/>
    <mergeCell ref="B17:C17"/>
    <mergeCell ref="B18:C18"/>
    <mergeCell ref="B19:C19"/>
    <mergeCell ref="B20:C20"/>
    <mergeCell ref="B11:C11"/>
    <mergeCell ref="B12:C12"/>
    <mergeCell ref="B13:C13"/>
    <mergeCell ref="B14:C14"/>
    <mergeCell ref="B15:C15"/>
    <mergeCell ref="B6:C6"/>
    <mergeCell ref="B7:C7"/>
    <mergeCell ref="B8:C8"/>
    <mergeCell ref="B9:C9"/>
    <mergeCell ref="B10:C10"/>
    <mergeCell ref="A1:C1"/>
    <mergeCell ref="A2:C2"/>
    <mergeCell ref="A3:C3"/>
    <mergeCell ref="B4:C4"/>
    <mergeCell ref="B5:C5"/>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A8C6B"/>
  </sheetPr>
  <dimension ref="A1:P34"/>
  <sheetViews>
    <sheetView showGridLines="0" tabSelected="1" zoomScaleNormal="100" workbookViewId="0">
      <pane xSplit="2" ySplit="3" topLeftCell="C4" activePane="bottomRight" state="frozen"/>
      <selection pane="topRight" activeCell="C1" sqref="C1"/>
      <selection pane="bottomLeft" activeCell="A4" sqref="A4"/>
      <selection pane="bottomRight" sqref="A1:P1"/>
    </sheetView>
  </sheetViews>
  <sheetFormatPr defaultColWidth="8.6328125" defaultRowHeight="14.5" x14ac:dyDescent="0.35"/>
  <cols>
    <col min="1" max="1" width="6" customWidth="1"/>
    <col min="2" max="2" width="10" customWidth="1"/>
    <col min="3" max="5" width="14" customWidth="1"/>
    <col min="6" max="16" width="13" customWidth="1"/>
  </cols>
  <sheetData>
    <row r="1" spans="1:16" ht="36" customHeight="1" x14ac:dyDescent="0.35">
      <c r="A1" s="316" t="s">
        <v>438</v>
      </c>
      <c r="B1" s="316"/>
      <c r="C1" s="316"/>
      <c r="D1" s="316"/>
      <c r="E1" s="316"/>
      <c r="F1" s="316"/>
      <c r="G1" s="316"/>
      <c r="H1" s="316"/>
      <c r="I1" s="316"/>
      <c r="J1" s="316"/>
      <c r="K1" s="316"/>
      <c r="L1" s="316"/>
      <c r="M1" s="316"/>
      <c r="N1" s="316"/>
      <c r="O1" s="316"/>
      <c r="P1" s="316"/>
    </row>
    <row r="2" spans="1:16" ht="15.75" customHeight="1" x14ac:dyDescent="0.35">
      <c r="A2" s="317" t="s">
        <v>439</v>
      </c>
      <c r="B2" s="317"/>
      <c r="C2" s="317"/>
      <c r="D2" s="317"/>
      <c r="E2" s="317"/>
      <c r="F2" s="317"/>
      <c r="G2" s="317"/>
      <c r="H2" s="317"/>
      <c r="I2" s="317"/>
      <c r="J2" s="317"/>
      <c r="K2" s="317"/>
      <c r="L2" s="317"/>
      <c r="M2" s="317"/>
      <c r="N2" s="317"/>
      <c r="O2" s="317"/>
      <c r="P2" s="317"/>
    </row>
    <row r="3" spans="1:16" ht="36" customHeight="1" x14ac:dyDescent="0.35">
      <c r="A3" s="20" t="s">
        <v>440</v>
      </c>
      <c r="B3" s="20" t="s">
        <v>441</v>
      </c>
      <c r="C3" s="20" t="s">
        <v>348</v>
      </c>
      <c r="D3" s="20" t="s">
        <v>349</v>
      </c>
      <c r="E3" s="20" t="s">
        <v>442</v>
      </c>
      <c r="F3" s="20" t="s">
        <v>443</v>
      </c>
      <c r="G3" s="20" t="s">
        <v>444</v>
      </c>
      <c r="H3" s="20" t="s">
        <v>445</v>
      </c>
      <c r="I3" s="20" t="s">
        <v>446</v>
      </c>
      <c r="J3" s="20" t="s">
        <v>447</v>
      </c>
      <c r="K3" s="20" t="s">
        <v>448</v>
      </c>
      <c r="L3" s="20" t="s">
        <v>449</v>
      </c>
      <c r="M3" s="20" t="s">
        <v>450</v>
      </c>
      <c r="N3" s="20" t="s">
        <v>451</v>
      </c>
      <c r="O3" s="20" t="s">
        <v>452</v>
      </c>
      <c r="P3" s="20" t="s">
        <v>353</v>
      </c>
    </row>
    <row r="4" spans="1:16" ht="15.75" customHeight="1" x14ac:dyDescent="0.35">
      <c r="A4" s="82">
        <v>1</v>
      </c>
      <c r="B4" s="104" t="str">
        <f>TEXT(2025,"0")&amp;"/"&amp;TEXT(RIGHT(TEXT(2026,"0"),2),"00")</f>
        <v>2025/26</v>
      </c>
      <c r="C4" s="105">
        <f>Parameters!B4+0</f>
        <v>35</v>
      </c>
      <c r="D4" s="84">
        <f>Parameters!B6</f>
        <v>100000</v>
      </c>
      <c r="E4" s="84">
        <f>Parameters!B7</f>
        <v>95000</v>
      </c>
      <c r="F4" s="84">
        <f>E4*Parameters!B9</f>
        <v>10925</v>
      </c>
      <c r="G4" s="84">
        <f>Parameters!B13</f>
        <v>5000</v>
      </c>
      <c r="H4" s="84">
        <f>Parameters!B16</f>
        <v>2000</v>
      </c>
      <c r="I4" s="84">
        <f t="shared" ref="I4:I33" si="0">F4+G4+H4</f>
        <v>17925</v>
      </c>
      <c r="J4" s="84">
        <f>(D4+(I4/2))*Parameters!B20</f>
        <v>8172.1875</v>
      </c>
      <c r="K4" s="84">
        <f>(F4+G4)*Parameters!B34</f>
        <v>2388.75</v>
      </c>
      <c r="L4" s="84">
        <f>IF(C4&lt;Parameters!B5,J4*Parameters!B35,J4*Parameters!B36)</f>
        <v>1225.828125</v>
      </c>
      <c r="M4" s="84">
        <f>Parameters!B24+(D4+I4/2)*Parameters!B25+Parameters!B26</f>
        <v>786.25625000000002</v>
      </c>
      <c r="N4" s="84">
        <f>Parameters!B29+Parameters!B30+Parameters!B31</f>
        <v>900</v>
      </c>
      <c r="O4" s="84">
        <f t="shared" ref="O4:O33" si="1">I4+J4-K4-L4-M4-N4</f>
        <v>20796.353125000001</v>
      </c>
      <c r="P4" s="90">
        <f t="shared" ref="P4:P33" si="2">D4+O4</f>
        <v>120796.35312499999</v>
      </c>
    </row>
    <row r="5" spans="1:16" ht="15.75" customHeight="1" x14ac:dyDescent="0.35">
      <c r="A5" s="82">
        <v>2</v>
      </c>
      <c r="B5" s="104" t="str">
        <f>TEXT(2026,"0")&amp;"/"&amp;TEXT(RIGHT(TEXT(2027,"0"),2),"00")</f>
        <v>2026/27</v>
      </c>
      <c r="C5" s="106">
        <f>Parameters!B4+1</f>
        <v>36</v>
      </c>
      <c r="D5" s="92">
        <f t="shared" ref="D5:D33" si="3">P4</f>
        <v>120796.35312499999</v>
      </c>
      <c r="E5" s="92">
        <f>E4*(1+Parameters!B40)</f>
        <v>98324.999999999985</v>
      </c>
      <c r="F5" s="92">
        <f>E5*Parameters!B10</f>
        <v>11798.999999999998</v>
      </c>
      <c r="G5" s="92">
        <f>G4*(1+Parameters!B14)</f>
        <v>5125</v>
      </c>
      <c r="H5" s="92">
        <f>H4*(1+Parameters!B18)</f>
        <v>2050</v>
      </c>
      <c r="I5" s="92">
        <f t="shared" si="0"/>
        <v>18974</v>
      </c>
      <c r="J5" s="92">
        <f>(D5+(I5/2))*Parameters!B20</f>
        <v>9771.2514843749996</v>
      </c>
      <c r="K5" s="92">
        <f>(F5+G5)*Parameters!B34</f>
        <v>2538.6</v>
      </c>
      <c r="L5" s="92">
        <f>IF(C5&lt;Parameters!B5,J5*Parameters!B35,J5*Parameters!B36)</f>
        <v>1465.6877226562499</v>
      </c>
      <c r="M5" s="92">
        <f>Parameters!B24+(D5+I5/2)*Parameters!B25+Parameters!B26</f>
        <v>924.84179531249993</v>
      </c>
      <c r="N5" s="92">
        <f>N4*(1+Parameters!B32)</f>
        <v>927</v>
      </c>
      <c r="O5" s="92">
        <f t="shared" si="1"/>
        <v>22889.121966406252</v>
      </c>
      <c r="P5" s="90">
        <f t="shared" si="2"/>
        <v>143685.47509140626</v>
      </c>
    </row>
    <row r="6" spans="1:16" ht="15.75" customHeight="1" x14ac:dyDescent="0.35">
      <c r="A6" s="82">
        <v>3</v>
      </c>
      <c r="B6" s="104" t="str">
        <f>TEXT(2027,"0")&amp;"/"&amp;TEXT(RIGHT(TEXT(2028,"0"),2),"00")</f>
        <v>2027/28</v>
      </c>
      <c r="C6" s="105">
        <f>Parameters!B4+2</f>
        <v>37</v>
      </c>
      <c r="D6" s="84">
        <f t="shared" si="3"/>
        <v>143685.47509140626</v>
      </c>
      <c r="E6" s="84">
        <f>E5*(1+Parameters!B40)</f>
        <v>101766.37499999997</v>
      </c>
      <c r="F6" s="84">
        <f>E6*Parameters!B10</f>
        <v>12211.964999999997</v>
      </c>
      <c r="G6" s="84">
        <f>G5*(1+Parameters!B14)</f>
        <v>5253.1249999999991</v>
      </c>
      <c r="H6" s="84">
        <f>H5*(1+Parameters!B18)</f>
        <v>2101.25</v>
      </c>
      <c r="I6" s="84">
        <f t="shared" si="0"/>
        <v>19566.339999999997</v>
      </c>
      <c r="J6" s="84">
        <f>(D6+(I6/2))*Parameters!B20</f>
        <v>11510.148381855468</v>
      </c>
      <c r="K6" s="84">
        <f>(F6+G6)*Parameters!B34</f>
        <v>2619.7634999999996</v>
      </c>
      <c r="L6" s="84">
        <f>IF(C6&lt;Parameters!B5,J6*Parameters!B35,J6*Parameters!B36)</f>
        <v>1726.5222572783202</v>
      </c>
      <c r="M6" s="84">
        <f>Parameters!B24+(D6+I6/2)*Parameters!B25+Parameters!B26</f>
        <v>1075.5461930941406</v>
      </c>
      <c r="N6" s="84">
        <f>N5*(1+Parameters!B32)</f>
        <v>954.81000000000006</v>
      </c>
      <c r="O6" s="84">
        <f t="shared" si="1"/>
        <v>24699.846431483002</v>
      </c>
      <c r="P6" s="90">
        <f t="shared" si="2"/>
        <v>168385.32152288925</v>
      </c>
    </row>
    <row r="7" spans="1:16" ht="15.75" customHeight="1" x14ac:dyDescent="0.35">
      <c r="A7" s="82">
        <v>4</v>
      </c>
      <c r="B7" s="104" t="str">
        <f>TEXT(2028,"0")&amp;"/"&amp;TEXT(RIGHT(TEXT(2029,"0"),2),"00")</f>
        <v>2028/29</v>
      </c>
      <c r="C7" s="106">
        <f>Parameters!B4+3</f>
        <v>38</v>
      </c>
      <c r="D7" s="92">
        <f t="shared" si="3"/>
        <v>168385.32152288925</v>
      </c>
      <c r="E7" s="92">
        <f>E6*(1+Parameters!B40)</f>
        <v>105328.19812499997</v>
      </c>
      <c r="F7" s="92">
        <f>E7*Parameters!B10</f>
        <v>12639.383774999995</v>
      </c>
      <c r="G7" s="92">
        <f>G6*(1+Parameters!B14)</f>
        <v>5384.4531249999982</v>
      </c>
      <c r="H7" s="92">
        <f>H6*(1+Parameters!B18)</f>
        <v>2153.78125</v>
      </c>
      <c r="I7" s="92">
        <f t="shared" si="0"/>
        <v>20177.618149999995</v>
      </c>
      <c r="J7" s="92">
        <f>(D7+(I7/2))*Parameters!B20</f>
        <v>13385.559794841693</v>
      </c>
      <c r="K7" s="92">
        <f>(F7+G7)*Parameters!B34</f>
        <v>2703.575534999999</v>
      </c>
      <c r="L7" s="92">
        <f>IF(C7&lt;Parameters!B5,J7*Parameters!B35,J7*Parameters!B36)</f>
        <v>2007.8339692262539</v>
      </c>
      <c r="M7" s="92">
        <f>Parameters!B24+(D7+I7/2)*Parameters!B25+Parameters!B26</f>
        <v>1238.0818488862801</v>
      </c>
      <c r="N7" s="92">
        <f>N6*(1+Parameters!B32)</f>
        <v>983.4543000000001</v>
      </c>
      <c r="O7" s="92">
        <f t="shared" si="1"/>
        <v>26630.232291729153</v>
      </c>
      <c r="P7" s="90">
        <f t="shared" si="2"/>
        <v>195015.55381461841</v>
      </c>
    </row>
    <row r="8" spans="1:16" ht="15.75" customHeight="1" x14ac:dyDescent="0.35">
      <c r="A8" s="82">
        <v>5</v>
      </c>
      <c r="B8" s="104" t="str">
        <f>TEXT(2029,"0")&amp;"/"&amp;TEXT(RIGHT(TEXT(2030,"0"),2),"00")</f>
        <v>2029/30</v>
      </c>
      <c r="C8" s="105">
        <f>Parameters!B4+4</f>
        <v>39</v>
      </c>
      <c r="D8" s="84">
        <f t="shared" si="3"/>
        <v>195015.55381461841</v>
      </c>
      <c r="E8" s="84">
        <f>E7*(1+Parameters!B40)</f>
        <v>109014.68505937496</v>
      </c>
      <c r="F8" s="84">
        <f>E8*Parameters!B10</f>
        <v>13081.762207124993</v>
      </c>
      <c r="G8" s="84">
        <f>G7*(1+Parameters!B14)</f>
        <v>5519.0644531249973</v>
      </c>
      <c r="H8" s="84">
        <f>H7*(1+Parameters!B18)</f>
        <v>2207.6257812499998</v>
      </c>
      <c r="I8" s="84">
        <f t="shared" si="0"/>
        <v>20808.452441499991</v>
      </c>
      <c r="J8" s="84">
        <f>(D8+(I8/2))*Parameters!B20</f>
        <v>15406.483502652629</v>
      </c>
      <c r="K8" s="84">
        <f>(F8+G8)*Parameters!B34</f>
        <v>2790.1239990374984</v>
      </c>
      <c r="L8" s="84">
        <f>IF(C8&lt;Parameters!B5,J8*Parameters!B35,J8*Parameters!B36)</f>
        <v>2310.9725253978941</v>
      </c>
      <c r="M8" s="84">
        <f>Parameters!B24+(D8+I8/2)*Parameters!B25+Parameters!B26</f>
        <v>1413.2285702298946</v>
      </c>
      <c r="N8" s="84">
        <f>N7*(1+Parameters!B32)</f>
        <v>1012.9579290000001</v>
      </c>
      <c r="O8" s="84">
        <f t="shared" si="1"/>
        <v>28687.652920487333</v>
      </c>
      <c r="P8" s="90">
        <f t="shared" si="2"/>
        <v>223703.20673510575</v>
      </c>
    </row>
    <row r="9" spans="1:16" ht="15.75" customHeight="1" x14ac:dyDescent="0.35">
      <c r="A9" s="82">
        <v>6</v>
      </c>
      <c r="B9" s="104" t="str">
        <f>TEXT(2030,"0")&amp;"/"&amp;TEXT(RIGHT(TEXT(2031,"0"),2),"00")</f>
        <v>2030/31</v>
      </c>
      <c r="C9" s="106">
        <f>Parameters!B4+5</f>
        <v>40</v>
      </c>
      <c r="D9" s="92">
        <f t="shared" si="3"/>
        <v>223703.20673510575</v>
      </c>
      <c r="E9" s="92">
        <f>E8*(1+Parameters!B40)</f>
        <v>112830.19903645306</v>
      </c>
      <c r="F9" s="92">
        <f>E9*Parameters!B10</f>
        <v>13539.623884374367</v>
      </c>
      <c r="G9" s="92">
        <f>G8*(1+Parameters!B14)</f>
        <v>5657.0410644531221</v>
      </c>
      <c r="H9" s="92">
        <f>H8*(1+Parameters!B18)</f>
        <v>2262.8164257812496</v>
      </c>
      <c r="I9" s="92">
        <f t="shared" si="0"/>
        <v>21459.481374608738</v>
      </c>
      <c r="J9" s="92">
        <f>(D9+(I9/2))*Parameters!B20</f>
        <v>17582.471056680759</v>
      </c>
      <c r="K9" s="92">
        <f>(F9+G9)*Parameters!B34</f>
        <v>2879.4997423241234</v>
      </c>
      <c r="L9" s="92">
        <f>IF(C9&lt;Parameters!B5,J9*Parameters!B35,J9*Parameters!B36)</f>
        <v>2637.3706585021137</v>
      </c>
      <c r="M9" s="92">
        <f>Parameters!B24+(D9+I9/2)*Parameters!B25+Parameters!B26</f>
        <v>1601.8141582456658</v>
      </c>
      <c r="N9" s="92">
        <f>N8*(1+Parameters!B32)</f>
        <v>1043.3466668700003</v>
      </c>
      <c r="O9" s="92">
        <f t="shared" si="1"/>
        <v>30879.921205347593</v>
      </c>
      <c r="P9" s="90">
        <f t="shared" si="2"/>
        <v>254583.12794045336</v>
      </c>
    </row>
    <row r="10" spans="1:16" ht="15.75" customHeight="1" x14ac:dyDescent="0.35">
      <c r="A10" s="82">
        <v>7</v>
      </c>
      <c r="B10" s="104" t="str">
        <f>TEXT(2031,"0")&amp;"/"&amp;TEXT(RIGHT(TEXT(2032,"0"),2),"00")</f>
        <v>2031/32</v>
      </c>
      <c r="C10" s="105">
        <f>Parameters!B4+6</f>
        <v>41</v>
      </c>
      <c r="D10" s="84">
        <f t="shared" si="3"/>
        <v>254583.12794045336</v>
      </c>
      <c r="E10" s="84">
        <f>E9*(1+Parameters!B40)</f>
        <v>116779.25600272891</v>
      </c>
      <c r="F10" s="84">
        <f>E10*Parameters!B10</f>
        <v>14013.510720327469</v>
      </c>
      <c r="G10" s="84">
        <f>G9*(1+Parameters!B14)</f>
        <v>5798.46709106445</v>
      </c>
      <c r="H10" s="84">
        <f>H9*(1+Parameters!B18)</f>
        <v>2319.3868364257805</v>
      </c>
      <c r="I10" s="84">
        <f t="shared" si="0"/>
        <v>22131.3646478177</v>
      </c>
      <c r="J10" s="84">
        <f>(D10+(I10/2))*Parameters!B20</f>
        <v>19923.660769827165</v>
      </c>
      <c r="K10" s="84">
        <f>(F10+G10)*Parameters!B34</f>
        <v>2971.7966717087879</v>
      </c>
      <c r="L10" s="84">
        <f>IF(C10&lt;Parameters!B5,J10*Parameters!B35,J10*Parameters!B36)</f>
        <v>2988.5491154740748</v>
      </c>
      <c r="M10" s="84">
        <f>Parameters!B24+(D10+I10/2)*Parameters!B25+Parameters!B26</f>
        <v>1804.7172667183543</v>
      </c>
      <c r="N10" s="84">
        <f>N9*(1+Parameters!B32)</f>
        <v>1074.6470668761003</v>
      </c>
      <c r="O10" s="84">
        <f t="shared" si="1"/>
        <v>33215.315296867542</v>
      </c>
      <c r="P10" s="90">
        <f t="shared" si="2"/>
        <v>287798.44323732087</v>
      </c>
    </row>
    <row r="11" spans="1:16" ht="15.75" customHeight="1" x14ac:dyDescent="0.35">
      <c r="A11" s="82">
        <v>8</v>
      </c>
      <c r="B11" s="104" t="str">
        <f>TEXT(2032,"0")&amp;"/"&amp;TEXT(RIGHT(TEXT(2033,"0"),2),"00")</f>
        <v>2032/33</v>
      </c>
      <c r="C11" s="106">
        <f>Parameters!B4+7</f>
        <v>42</v>
      </c>
      <c r="D11" s="92">
        <f t="shared" si="3"/>
        <v>287798.44323732087</v>
      </c>
      <c r="E11" s="92">
        <f>E10*(1+Parameters!B40)</f>
        <v>120866.52996282441</v>
      </c>
      <c r="F11" s="92">
        <f>E11*Parameters!B10</f>
        <v>14503.983595538928</v>
      </c>
      <c r="G11" s="92">
        <f>G10*(1+Parameters!B14)</f>
        <v>5943.4287683410603</v>
      </c>
      <c r="H11" s="92">
        <f>H10*(1+Parameters!B18)</f>
        <v>2377.3715073364247</v>
      </c>
      <c r="I11" s="92">
        <f t="shared" si="0"/>
        <v>22824.783871216412</v>
      </c>
      <c r="J11" s="92">
        <f>(D11+(I11/2))*Parameters!B20</f>
        <v>22440.812637969681</v>
      </c>
      <c r="K11" s="92">
        <f>(F11+G11)*Parameters!B34</f>
        <v>3067.1118545819977</v>
      </c>
      <c r="L11" s="92">
        <f>IF(C11&lt;Parameters!B5,J11*Parameters!B35,J11*Parameters!B36)</f>
        <v>3366.1218956954522</v>
      </c>
      <c r="M11" s="92">
        <f>Parameters!B24+(D11+I11/2)*Parameters!B25+Parameters!B26</f>
        <v>2022.8704286240391</v>
      </c>
      <c r="N11" s="92">
        <f>N10*(1+Parameters!B32)</f>
        <v>1106.8864788823835</v>
      </c>
      <c r="O11" s="92">
        <f t="shared" si="1"/>
        <v>35702.605851402215</v>
      </c>
      <c r="P11" s="90">
        <f t="shared" si="2"/>
        <v>323501.04908872308</v>
      </c>
    </row>
    <row r="12" spans="1:16" ht="15.75" customHeight="1" x14ac:dyDescent="0.35">
      <c r="A12" s="82">
        <v>9</v>
      </c>
      <c r="B12" s="104" t="str">
        <f>TEXT(2033,"0")&amp;"/"&amp;TEXT(RIGHT(TEXT(2034,"0"),2),"00")</f>
        <v>2033/34</v>
      </c>
      <c r="C12" s="105">
        <f>Parameters!B4+8</f>
        <v>43</v>
      </c>
      <c r="D12" s="84">
        <f t="shared" si="3"/>
        <v>323501.04908872308</v>
      </c>
      <c r="E12" s="84">
        <f>E11*(1+Parameters!B40)</f>
        <v>125096.85851152326</v>
      </c>
      <c r="F12" s="84">
        <f>E12*Parameters!B10</f>
        <v>15011.623021382789</v>
      </c>
      <c r="G12" s="84">
        <f>G11*(1+Parameters!B14)</f>
        <v>6092.0144875495862</v>
      </c>
      <c r="H12" s="84">
        <f>H11*(1+Parameters!B18)</f>
        <v>2436.8057950198349</v>
      </c>
      <c r="I12" s="84">
        <f t="shared" si="0"/>
        <v>23540.443303952212</v>
      </c>
      <c r="J12" s="84">
        <f>(D12+(I12/2))*Parameters!B20</f>
        <v>25145.345305552441</v>
      </c>
      <c r="K12" s="84">
        <f>(F12+G12)*Parameters!B34</f>
        <v>3165.5456263398564</v>
      </c>
      <c r="L12" s="84">
        <f>IF(C12&lt;Parameters!B5,J12*Parameters!B35,J12*Parameters!B36)</f>
        <v>3771.801795832866</v>
      </c>
      <c r="M12" s="84">
        <f>Parameters!B24+(D12+I12/2)*Parameters!B25+Parameters!B26</f>
        <v>2257.2632598145447</v>
      </c>
      <c r="N12" s="84">
        <f>N11*(1+Parameters!B32)</f>
        <v>1140.093073248855</v>
      </c>
      <c r="O12" s="84">
        <f t="shared" si="1"/>
        <v>38351.084854268534</v>
      </c>
      <c r="P12" s="90">
        <f t="shared" si="2"/>
        <v>361852.13394299161</v>
      </c>
    </row>
    <row r="13" spans="1:16" ht="15.75" customHeight="1" x14ac:dyDescent="0.35">
      <c r="A13" s="82">
        <v>10</v>
      </c>
      <c r="B13" s="104" t="str">
        <f>TEXT(2034,"0")&amp;"/"&amp;TEXT(RIGHT(TEXT(2035,"0"),2),"00")</f>
        <v>2034/35</v>
      </c>
      <c r="C13" s="106">
        <f>Parameters!B4+9</f>
        <v>44</v>
      </c>
      <c r="D13" s="92">
        <f t="shared" si="3"/>
        <v>361852.13394299161</v>
      </c>
      <c r="E13" s="92">
        <f>E12*(1+Parameters!B40)</f>
        <v>129475.24855942656</v>
      </c>
      <c r="F13" s="92">
        <f>E13*Parameters!B10</f>
        <v>15537.029827131186</v>
      </c>
      <c r="G13" s="92">
        <f>G12*(1+Parameters!B14)</f>
        <v>6244.3148497383254</v>
      </c>
      <c r="H13" s="92">
        <f>H12*(1+Parameters!B18)</f>
        <v>2497.7259398953306</v>
      </c>
      <c r="I13" s="92">
        <f t="shared" si="0"/>
        <v>24279.070616764842</v>
      </c>
      <c r="J13" s="92">
        <f>(D13+(I13/2))*Parameters!B20</f>
        <v>28049.375193853051</v>
      </c>
      <c r="K13" s="92">
        <f>(F13+G13)*Parameters!B34</f>
        <v>3267.2017015304264</v>
      </c>
      <c r="L13" s="92">
        <f>IF(C13&lt;Parameters!B5,J13*Parameters!B35,J13*Parameters!B36)</f>
        <v>4207.4062790779572</v>
      </c>
      <c r="M13" s="92">
        <f>Parameters!B24+(D13+I13/2)*Parameters!B25+Parameters!B26</f>
        <v>2508.9458501339309</v>
      </c>
      <c r="N13" s="92">
        <f>N12*(1+Parameters!B32)</f>
        <v>1174.2958654463207</v>
      </c>
      <c r="O13" s="92">
        <f t="shared" si="1"/>
        <v>41170.596114429252</v>
      </c>
      <c r="P13" s="90">
        <f t="shared" si="2"/>
        <v>403022.73005742085</v>
      </c>
    </row>
    <row r="14" spans="1:16" ht="15.75" customHeight="1" x14ac:dyDescent="0.35">
      <c r="A14" s="82">
        <v>11</v>
      </c>
      <c r="B14" s="104" t="str">
        <f>TEXT(2035,"0")&amp;"/"&amp;TEXT(RIGHT(TEXT(2036,"0"),2),"00")</f>
        <v>2035/36</v>
      </c>
      <c r="C14" s="105">
        <f>Parameters!B4+10</f>
        <v>45</v>
      </c>
      <c r="D14" s="84">
        <f t="shared" si="3"/>
        <v>403022.73005742085</v>
      </c>
      <c r="E14" s="84">
        <f>E13*(1+Parameters!B40)</f>
        <v>134006.88225900647</v>
      </c>
      <c r="F14" s="84">
        <f>E14*Parameters!B10</f>
        <v>16080.825871080775</v>
      </c>
      <c r="G14" s="84">
        <f>G13*(1+Parameters!B14)</f>
        <v>6400.4227209817827</v>
      </c>
      <c r="H14" s="84">
        <f>H13*(1+Parameters!B18)</f>
        <v>2560.1690883927135</v>
      </c>
      <c r="I14" s="84">
        <f t="shared" si="0"/>
        <v>25041.417680455274</v>
      </c>
      <c r="J14" s="84">
        <f>(D14+(I14/2))*Parameters!B20</f>
        <v>31165.757917323634</v>
      </c>
      <c r="K14" s="84">
        <f>(F14+G14)*Parameters!B34</f>
        <v>3372.1872888093835</v>
      </c>
      <c r="L14" s="84">
        <f>IF(C14&lt;Parameters!B5,J14*Parameters!B35,J14*Parameters!B36)</f>
        <v>4674.8636875985449</v>
      </c>
      <c r="M14" s="84">
        <f>Parameters!B24+(D14+I14/2)*Parameters!B25+Parameters!B26</f>
        <v>2779.0323528347149</v>
      </c>
      <c r="N14" s="84">
        <f>N13*(1+Parameters!B32)</f>
        <v>1209.5247414097103</v>
      </c>
      <c r="O14" s="84">
        <f t="shared" si="1"/>
        <v>44171.56752712655</v>
      </c>
      <c r="P14" s="90">
        <f t="shared" si="2"/>
        <v>447194.29758454743</v>
      </c>
    </row>
    <row r="15" spans="1:16" ht="15.75" customHeight="1" x14ac:dyDescent="0.35">
      <c r="A15" s="82">
        <v>12</v>
      </c>
      <c r="B15" s="104" t="str">
        <f>TEXT(2036,"0")&amp;"/"&amp;TEXT(RIGHT(TEXT(2037,"0"),2),"00")</f>
        <v>2036/37</v>
      </c>
      <c r="C15" s="106">
        <f>Parameters!B4+11</f>
        <v>46</v>
      </c>
      <c r="D15" s="92">
        <f t="shared" si="3"/>
        <v>447194.29758454743</v>
      </c>
      <c r="E15" s="92">
        <f>E14*(1+Parameters!B40)</f>
        <v>138697.12313807168</v>
      </c>
      <c r="F15" s="92">
        <f>E15*Parameters!B10</f>
        <v>16643.654776568601</v>
      </c>
      <c r="G15" s="92">
        <f>G14*(1+Parameters!B14)</f>
        <v>6560.433289006327</v>
      </c>
      <c r="H15" s="92">
        <f>H14*(1+Parameters!B18)</f>
        <v>2624.1733156025311</v>
      </c>
      <c r="I15" s="92">
        <f t="shared" si="0"/>
        <v>25828.261381177457</v>
      </c>
      <c r="J15" s="92">
        <f>(D15+(I15/2))*Parameters!B20</f>
        <v>34508.132120635208</v>
      </c>
      <c r="K15" s="92">
        <f>(F15+G15)*Parameters!B34</f>
        <v>3480.6132098362391</v>
      </c>
      <c r="L15" s="92">
        <f>IF(C15&lt;Parameters!B5,J15*Parameters!B35,J15*Parameters!B36)</f>
        <v>5176.219818095281</v>
      </c>
      <c r="M15" s="92">
        <f>Parameters!B24+(D15+I15/2)*Parameters!B25+Parameters!B26</f>
        <v>3068.7047837883847</v>
      </c>
      <c r="N15" s="92">
        <f>N14*(1+Parameters!B32)</f>
        <v>1245.8104836520015</v>
      </c>
      <c r="O15" s="92">
        <f t="shared" si="1"/>
        <v>47365.045206440758</v>
      </c>
      <c r="P15" s="90">
        <f t="shared" si="2"/>
        <v>494559.34279098816</v>
      </c>
    </row>
    <row r="16" spans="1:16" ht="15.75" customHeight="1" x14ac:dyDescent="0.35">
      <c r="A16" s="82">
        <v>13</v>
      </c>
      <c r="B16" s="104" t="str">
        <f>TEXT(2037,"0")&amp;"/"&amp;TEXT(RIGHT(TEXT(2038,"0"),2),"00")</f>
        <v>2037/38</v>
      </c>
      <c r="C16" s="105">
        <f>Parameters!B4+12</f>
        <v>47</v>
      </c>
      <c r="D16" s="84">
        <f t="shared" si="3"/>
        <v>494559.34279098816</v>
      </c>
      <c r="E16" s="84">
        <f>E15*(1+Parameters!B40)</f>
        <v>143551.52244790416</v>
      </c>
      <c r="F16" s="84">
        <f>E16*Parameters!B10</f>
        <v>17226.182693748498</v>
      </c>
      <c r="G16" s="84">
        <f>G15*(1+Parameters!B14)</f>
        <v>6724.4441212314841</v>
      </c>
      <c r="H16" s="84">
        <f>H15*(1+Parameters!B18)</f>
        <v>2689.7776484925944</v>
      </c>
      <c r="I16" s="84">
        <f t="shared" si="0"/>
        <v>26640.40446347258</v>
      </c>
      <c r="J16" s="84">
        <f>(D16+(I16/2))*Parameters!B20</f>
        <v>38090.965876704329</v>
      </c>
      <c r="K16" s="84">
        <f>(F16+G16)*Parameters!B34</f>
        <v>3592.5940222469976</v>
      </c>
      <c r="L16" s="84">
        <f>IF(C16&lt;Parameters!B5,J16*Parameters!B35,J16*Parameters!B36)</f>
        <v>5713.6448815056492</v>
      </c>
      <c r="M16" s="84">
        <f>Parameters!B24+(D16+I16/2)*Parameters!B25+Parameters!B26</f>
        <v>3379.2170426477087</v>
      </c>
      <c r="N16" s="84">
        <f>N15*(1+Parameters!B32)</f>
        <v>1283.1847981615615</v>
      </c>
      <c r="O16" s="84">
        <f t="shared" si="1"/>
        <v>50762.72959561499</v>
      </c>
      <c r="P16" s="90">
        <f t="shared" si="2"/>
        <v>545322.0723866031</v>
      </c>
    </row>
    <row r="17" spans="1:16" ht="15.75" customHeight="1" x14ac:dyDescent="0.35">
      <c r="A17" s="82">
        <v>14</v>
      </c>
      <c r="B17" s="104" t="str">
        <f>TEXT(2038,"0")&amp;"/"&amp;TEXT(RIGHT(TEXT(2039,"0"),2),"00")</f>
        <v>2038/39</v>
      </c>
      <c r="C17" s="106">
        <f>Parameters!B4+13</f>
        <v>48</v>
      </c>
      <c r="D17" s="92">
        <f t="shared" si="3"/>
        <v>545322.0723866031</v>
      </c>
      <c r="E17" s="92">
        <f>E16*(1+Parameters!B40)</f>
        <v>148575.8257335808</v>
      </c>
      <c r="F17" s="92">
        <f>E17*Parameters!B10</f>
        <v>17829.099088029696</v>
      </c>
      <c r="G17" s="92">
        <f>G16*(1+Parameters!B14)</f>
        <v>6892.5552242622707</v>
      </c>
      <c r="H17" s="92">
        <f>H16*(1+Parameters!B18)</f>
        <v>2757.0220897049089</v>
      </c>
      <c r="I17" s="92">
        <f t="shared" si="0"/>
        <v>27478.676401996876</v>
      </c>
      <c r="J17" s="92">
        <f>(D17+(I17/2))*Parameters!B20</f>
        <v>41929.605794070121</v>
      </c>
      <c r="K17" s="92">
        <f>(F17+G17)*Parameters!B34</f>
        <v>3708.248146843795</v>
      </c>
      <c r="L17" s="92">
        <f>IF(C17&lt;Parameters!B5,J17*Parameters!B35,J17*Parameters!B36)</f>
        <v>6289.4408691105182</v>
      </c>
      <c r="M17" s="92">
        <f>Parameters!B24+(D17+I17/2)*Parameters!B25+Parameters!B26</f>
        <v>3711.8991688194101</v>
      </c>
      <c r="N17" s="92">
        <f>N16*(1+Parameters!B32)</f>
        <v>1321.6803421064085</v>
      </c>
      <c r="O17" s="92">
        <f t="shared" si="1"/>
        <v>54377.013669186868</v>
      </c>
      <c r="P17" s="90">
        <f t="shared" si="2"/>
        <v>599699.08605578996</v>
      </c>
    </row>
    <row r="18" spans="1:16" ht="15.75" customHeight="1" x14ac:dyDescent="0.35">
      <c r="A18" s="82">
        <v>15</v>
      </c>
      <c r="B18" s="104" t="str">
        <f>TEXT(2039,"0")&amp;"/"&amp;TEXT(RIGHT(TEXT(2040,"0"),2),"00")</f>
        <v>2039/40</v>
      </c>
      <c r="C18" s="105">
        <f>Parameters!B4+14</f>
        <v>49</v>
      </c>
      <c r="D18" s="84">
        <f t="shared" si="3"/>
        <v>599699.08605578996</v>
      </c>
      <c r="E18" s="84">
        <f>E17*(1+Parameters!B40)</f>
        <v>153775.97963425613</v>
      </c>
      <c r="F18" s="84">
        <f>E18*Parameters!B10</f>
        <v>18453.117556110734</v>
      </c>
      <c r="G18" s="84">
        <f>G17*(1+Parameters!B14)</f>
        <v>7064.869104868827</v>
      </c>
      <c r="H18" s="84">
        <f>H17*(1+Parameters!B18)</f>
        <v>2825.9476419475313</v>
      </c>
      <c r="I18" s="84">
        <f t="shared" si="0"/>
        <v>28343.934302927093</v>
      </c>
      <c r="J18" s="84">
        <f>(D18+(I18/2))*Parameters!B20</f>
        <v>46040.328990544011</v>
      </c>
      <c r="K18" s="84">
        <f>(F18+G18)*Parameters!B34</f>
        <v>3827.6979991469339</v>
      </c>
      <c r="L18" s="84">
        <f>IF(C18&lt;Parameters!B5,J18*Parameters!B35,J18*Parameters!B36)</f>
        <v>6906.0493485816014</v>
      </c>
      <c r="M18" s="84">
        <f>Parameters!B24+(D18+I18/2)*Parameters!B25+Parameters!B26</f>
        <v>4068.1618458471471</v>
      </c>
      <c r="N18" s="84">
        <f>N17*(1+Parameters!B32)</f>
        <v>1361.3307523696008</v>
      </c>
      <c r="O18" s="84">
        <f t="shared" si="1"/>
        <v>58221.023347525821</v>
      </c>
      <c r="P18" s="90">
        <f t="shared" si="2"/>
        <v>657920.10940331582</v>
      </c>
    </row>
    <row r="19" spans="1:16" ht="15.75" customHeight="1" x14ac:dyDescent="0.35">
      <c r="A19" s="82">
        <v>16</v>
      </c>
      <c r="B19" s="104" t="str">
        <f>TEXT(2040,"0")&amp;"/"&amp;TEXT(RIGHT(TEXT(2041,"0"),2),"00")</f>
        <v>2040/41</v>
      </c>
      <c r="C19" s="106">
        <f>Parameters!B4+15</f>
        <v>50</v>
      </c>
      <c r="D19" s="92">
        <f t="shared" si="3"/>
        <v>657920.10940331582</v>
      </c>
      <c r="E19" s="92">
        <f>E18*(1+Parameters!B40)</f>
        <v>159158.13892145507</v>
      </c>
      <c r="F19" s="92">
        <f>E19*Parameters!B10</f>
        <v>19098.976670574608</v>
      </c>
      <c r="G19" s="92">
        <f>G18*(1+Parameters!B14)</f>
        <v>7241.4908324905473</v>
      </c>
      <c r="H19" s="92">
        <f>H18*(1+Parameters!B18)</f>
        <v>2896.5963329962192</v>
      </c>
      <c r="I19" s="92">
        <f t="shared" si="0"/>
        <v>29237.063836061374</v>
      </c>
      <c r="J19" s="92">
        <f>(D19+(I19/2))*Parameters!B20</f>
        <v>50440.398099100988</v>
      </c>
      <c r="K19" s="92">
        <f>(F19+G19)*Parameters!B34</f>
        <v>3951.0701254597734</v>
      </c>
      <c r="L19" s="92">
        <f>IF(C19&lt;Parameters!B5,J19*Parameters!B35,J19*Parameters!B36)</f>
        <v>7566.0597148651477</v>
      </c>
      <c r="M19" s="92">
        <f>Parameters!B24+(D19+I19/2)*Parameters!B25+Parameters!B26</f>
        <v>4449.5011685887521</v>
      </c>
      <c r="N19" s="92">
        <f>N18*(1+Parameters!B32)</f>
        <v>1402.1706749406887</v>
      </c>
      <c r="O19" s="92">
        <f t="shared" si="1"/>
        <v>62308.660251308007</v>
      </c>
      <c r="P19" s="90">
        <f t="shared" si="2"/>
        <v>720228.76965462381</v>
      </c>
    </row>
    <row r="20" spans="1:16" ht="15.75" customHeight="1" x14ac:dyDescent="0.35">
      <c r="A20" s="82">
        <v>17</v>
      </c>
      <c r="B20" s="104" t="str">
        <f>TEXT(2041,"0")&amp;"/"&amp;TEXT(RIGHT(TEXT(2042,"0"),2),"00")</f>
        <v>2041/42</v>
      </c>
      <c r="C20" s="105">
        <f>Parameters!B4+16</f>
        <v>51</v>
      </c>
      <c r="D20" s="84">
        <f t="shared" si="3"/>
        <v>720228.76965462381</v>
      </c>
      <c r="E20" s="84">
        <f>E19*(1+Parameters!B40)</f>
        <v>164728.67378370598</v>
      </c>
      <c r="F20" s="84">
        <f>E20*Parameters!B10</f>
        <v>19767.440854044715</v>
      </c>
      <c r="G20" s="84">
        <f>G19*(1+Parameters!B14)</f>
        <v>7422.5281033028105</v>
      </c>
      <c r="H20" s="84">
        <f>H19*(1+Parameters!B18)</f>
        <v>2969.0112413211245</v>
      </c>
      <c r="I20" s="84">
        <f t="shared" si="0"/>
        <v>30158.980198668651</v>
      </c>
      <c r="J20" s="84">
        <f>(D20+(I20/2))*Parameters!B20</f>
        <v>55148.119481546855</v>
      </c>
      <c r="K20" s="84">
        <f>(F20+G20)*Parameters!B34</f>
        <v>4078.4953436021287</v>
      </c>
      <c r="L20" s="84">
        <f>IF(C20&lt;Parameters!B5,J20*Parameters!B35,J20*Parameters!B36)</f>
        <v>8272.2179222320283</v>
      </c>
      <c r="M20" s="84">
        <f>Parameters!B24+(D20+I20/2)*Parameters!B25+Parameters!B26</f>
        <v>4857.5036884007277</v>
      </c>
      <c r="N20" s="84">
        <f>N19*(1+Parameters!B32)</f>
        <v>1444.2357951889094</v>
      </c>
      <c r="O20" s="84">
        <f t="shared" si="1"/>
        <v>66654.6469307917</v>
      </c>
      <c r="P20" s="90">
        <f t="shared" si="2"/>
        <v>786883.41658541549</v>
      </c>
    </row>
    <row r="21" spans="1:16" ht="15.75" customHeight="1" x14ac:dyDescent="0.35">
      <c r="A21" s="82">
        <v>18</v>
      </c>
      <c r="B21" s="104" t="str">
        <f>TEXT(2042,"0")&amp;"/"&amp;TEXT(RIGHT(TEXT(2043,"0"),2),"00")</f>
        <v>2042/43</v>
      </c>
      <c r="C21" s="106">
        <f>Parameters!B4+17</f>
        <v>52</v>
      </c>
      <c r="D21" s="92">
        <f t="shared" si="3"/>
        <v>786883.41658541549</v>
      </c>
      <c r="E21" s="92">
        <f>E20*(1+Parameters!B40)</f>
        <v>170494.17736613567</v>
      </c>
      <c r="F21" s="92">
        <f>E21*Parameters!B10</f>
        <v>20459.301283936278</v>
      </c>
      <c r="G21" s="92">
        <f>G20*(1+Parameters!B14)</f>
        <v>7608.0913058853803</v>
      </c>
      <c r="H21" s="92">
        <f>H20*(1+Parameters!B18)</f>
        <v>3043.2365223541524</v>
      </c>
      <c r="I21" s="92">
        <f t="shared" si="0"/>
        <v>31110.629112175811</v>
      </c>
      <c r="J21" s="92">
        <f>(D21+(I21/2))*Parameters!B20</f>
        <v>60182.904835612753</v>
      </c>
      <c r="K21" s="92">
        <f>(F21+G21)*Parameters!B34</f>
        <v>4210.108888473249</v>
      </c>
      <c r="L21" s="92">
        <f>IF(C21&lt;Parameters!B5,J21*Parameters!B35,J21*Parameters!B36)</f>
        <v>9027.435725341913</v>
      </c>
      <c r="M21" s="92">
        <f>Parameters!B24+(D21+I21/2)*Parameters!B25+Parameters!B26</f>
        <v>5293.8517524197723</v>
      </c>
      <c r="N21" s="92">
        <f>N20*(1+Parameters!B32)</f>
        <v>1487.5628690445767</v>
      </c>
      <c r="O21" s="92">
        <f t="shared" si="1"/>
        <v>71274.574712509057</v>
      </c>
      <c r="P21" s="90">
        <f t="shared" si="2"/>
        <v>858157.99129792454</v>
      </c>
    </row>
    <row r="22" spans="1:16" ht="15.75" customHeight="1" x14ac:dyDescent="0.35">
      <c r="A22" s="82">
        <v>19</v>
      </c>
      <c r="B22" s="104" t="str">
        <f>TEXT(2043,"0")&amp;"/"&amp;TEXT(RIGHT(TEXT(2044,"0"),2),"00")</f>
        <v>2043/44</v>
      </c>
      <c r="C22" s="105">
        <f>Parameters!B4+18</f>
        <v>53</v>
      </c>
      <c r="D22" s="84">
        <f t="shared" si="3"/>
        <v>858157.99129792454</v>
      </c>
      <c r="E22" s="84">
        <f>E21*(1+Parameters!B40)</f>
        <v>176461.47357395041</v>
      </c>
      <c r="F22" s="84">
        <f>E22*Parameters!B10</f>
        <v>21175.37682887405</v>
      </c>
      <c r="G22" s="84">
        <f>G21*(1+Parameters!B14)</f>
        <v>7798.2935885325141</v>
      </c>
      <c r="H22" s="84">
        <f>H21*(1+Parameters!B18)</f>
        <v>3119.317435413006</v>
      </c>
      <c r="I22" s="84">
        <f t="shared" si="0"/>
        <v>32092.98785281957</v>
      </c>
      <c r="J22" s="84">
        <f>(D22+(I22/2))*Parameters!B20</f>
        <v>65565.336391825069</v>
      </c>
      <c r="K22" s="84">
        <f>(F22+G22)*Parameters!B34</f>
        <v>4346.0505626109843</v>
      </c>
      <c r="L22" s="84">
        <f>IF(C22&lt;Parameters!B5,J22*Parameters!B35,J22*Parameters!B36)</f>
        <v>9834.8004587737596</v>
      </c>
      <c r="M22" s="84">
        <f>Parameters!B24+(D22+I22/2)*Parameters!B25+Parameters!B26</f>
        <v>5760.3291539581724</v>
      </c>
      <c r="N22" s="84">
        <f>N21*(1+Parameters!B32)</f>
        <v>1532.1897551159141</v>
      </c>
      <c r="O22" s="84">
        <f t="shared" si="1"/>
        <v>76184.954314185816</v>
      </c>
      <c r="P22" s="90">
        <f t="shared" si="2"/>
        <v>934342.94561211031</v>
      </c>
    </row>
    <row r="23" spans="1:16" ht="15.75" customHeight="1" x14ac:dyDescent="0.35">
      <c r="A23" s="82">
        <v>20</v>
      </c>
      <c r="B23" s="104" t="str">
        <f>TEXT(2044,"0")&amp;"/"&amp;TEXT(RIGHT(TEXT(2045,"0"),2),"00")</f>
        <v>2044/45</v>
      </c>
      <c r="C23" s="106">
        <f>Parameters!B4+19</f>
        <v>54</v>
      </c>
      <c r="D23" s="92">
        <f t="shared" si="3"/>
        <v>934342.94561211031</v>
      </c>
      <c r="E23" s="92">
        <f>E22*(1+Parameters!B40)</f>
        <v>182637.62514903865</v>
      </c>
      <c r="F23" s="92">
        <f>E23*Parameters!B10</f>
        <v>21916.515017884638</v>
      </c>
      <c r="G23" s="92">
        <f>G22*(1+Parameters!B14)</f>
        <v>7993.2509282458259</v>
      </c>
      <c r="H23" s="92">
        <f>H22*(1+Parameters!B18)</f>
        <v>3197.3003712983309</v>
      </c>
      <c r="I23" s="92">
        <f t="shared" si="0"/>
        <v>33107.066317428798</v>
      </c>
      <c r="J23" s="92">
        <f>(D23+(I23/2))*Parameters!B20</f>
        <v>71317.235907811846</v>
      </c>
      <c r="K23" s="92">
        <f>(F23+G23)*Parameters!B34</f>
        <v>4486.4648919195697</v>
      </c>
      <c r="L23" s="92">
        <f>IF(C23&lt;Parameters!B5,J23*Parameters!B35,J23*Parameters!B36)</f>
        <v>10697.585386171777</v>
      </c>
      <c r="M23" s="92">
        <f>Parameters!B24+(D23+I23/2)*Parameters!B25+Parameters!B26</f>
        <v>6258.8271120103609</v>
      </c>
      <c r="N23" s="92">
        <f>N22*(1+Parameters!B32)</f>
        <v>1578.1554477693915</v>
      </c>
      <c r="O23" s="92">
        <f t="shared" si="1"/>
        <v>81403.269387369553</v>
      </c>
      <c r="P23" s="90">
        <f t="shared" si="2"/>
        <v>1015746.2149994798</v>
      </c>
    </row>
    <row r="24" spans="1:16" ht="15.75" customHeight="1" x14ac:dyDescent="0.35">
      <c r="A24" s="82">
        <v>21</v>
      </c>
      <c r="B24" s="104" t="str">
        <f>TEXT(2045,"0")&amp;"/"&amp;TEXT(RIGHT(TEXT(2046,"0"),2),"00")</f>
        <v>2045/46</v>
      </c>
      <c r="C24" s="105">
        <f>Parameters!B4+20</f>
        <v>55</v>
      </c>
      <c r="D24" s="84">
        <f t="shared" si="3"/>
        <v>1015746.2149994798</v>
      </c>
      <c r="E24" s="84">
        <f>E23*(1+Parameters!B40)</f>
        <v>189029.94202925498</v>
      </c>
      <c r="F24" s="84">
        <f>E24*Parameters!B10</f>
        <v>22683.593043510595</v>
      </c>
      <c r="G24" s="84">
        <f>G23*(1+Parameters!B14)</f>
        <v>8193.0822014519708</v>
      </c>
      <c r="H24" s="84">
        <f>H23*(1+Parameters!B18)</f>
        <v>3277.2328805807888</v>
      </c>
      <c r="I24" s="84">
        <f t="shared" si="0"/>
        <v>34153.908125543356</v>
      </c>
      <c r="J24" s="84">
        <f>(D24+(I24/2))*Parameters!B20</f>
        <v>77461.737679668862</v>
      </c>
      <c r="K24" s="84">
        <f>(F24+G24)*Parameters!B34</f>
        <v>4631.5012867443847</v>
      </c>
      <c r="L24" s="84">
        <f>IF(C24&lt;Parameters!B5,J24*Parameters!B35,J24*Parameters!B36)</f>
        <v>11619.26065195033</v>
      </c>
      <c r="M24" s="84">
        <f>Parameters!B24+(D24+I24/2)*Parameters!B25+Parameters!B26</f>
        <v>6791.3505989046344</v>
      </c>
      <c r="N24" s="84">
        <f>N23*(1+Parameters!B32)</f>
        <v>1625.5001112024731</v>
      </c>
      <c r="O24" s="84">
        <f t="shared" si="1"/>
        <v>86948.033156410384</v>
      </c>
      <c r="P24" s="90">
        <f t="shared" si="2"/>
        <v>1102694.2481558903</v>
      </c>
    </row>
    <row r="25" spans="1:16" ht="15.75" customHeight="1" x14ac:dyDescent="0.35">
      <c r="A25" s="82">
        <v>22</v>
      </c>
      <c r="B25" s="104" t="str">
        <f>TEXT(2046,"0")&amp;"/"&amp;TEXT(RIGHT(TEXT(2047,"0"),2),"00")</f>
        <v>2046/47</v>
      </c>
      <c r="C25" s="106">
        <f>Parameters!B4+21</f>
        <v>56</v>
      </c>
      <c r="D25" s="92">
        <f t="shared" si="3"/>
        <v>1102694.2481558903</v>
      </c>
      <c r="E25" s="92">
        <f>E24*(1+Parameters!B40)</f>
        <v>195645.99000027889</v>
      </c>
      <c r="F25" s="92">
        <f>E25*Parameters!B10</f>
        <v>23477.518800033467</v>
      </c>
      <c r="G25" s="92">
        <f>G24*(1+Parameters!B14)</f>
        <v>8397.9092564882685</v>
      </c>
      <c r="H25" s="92">
        <f>H24*(1+Parameters!B18)</f>
        <v>3359.1637025953082</v>
      </c>
      <c r="I25" s="92">
        <f t="shared" si="0"/>
        <v>35234.591759117044</v>
      </c>
      <c r="J25" s="92">
        <f>(D25+(I25/2))*Parameters!B20</f>
        <v>84023.365802658649</v>
      </c>
      <c r="K25" s="92">
        <f>(F25+G25)*Parameters!B34</f>
        <v>4781.3142084782603</v>
      </c>
      <c r="L25" s="92">
        <f>IF(C25&lt;Parameters!B5,J25*Parameters!B35,J25*Parameters!B36)</f>
        <v>12603.504870398798</v>
      </c>
      <c r="M25" s="92">
        <f>Parameters!B24+(D25+I25/2)*Parameters!B25+Parameters!B26</f>
        <v>7360.0250362304159</v>
      </c>
      <c r="N25" s="92">
        <f>N24*(1+Parameters!B32)</f>
        <v>1674.2651145385473</v>
      </c>
      <c r="O25" s="92">
        <f t="shared" si="1"/>
        <v>92838.848332129666</v>
      </c>
      <c r="P25" s="90">
        <f t="shared" si="2"/>
        <v>1195533.0964880199</v>
      </c>
    </row>
    <row r="26" spans="1:16" ht="15.75" customHeight="1" x14ac:dyDescent="0.35">
      <c r="A26" s="82">
        <v>23</v>
      </c>
      <c r="B26" s="104" t="str">
        <f>TEXT(2047,"0")&amp;"/"&amp;TEXT(RIGHT(TEXT(2048,"0"),2),"00")</f>
        <v>2047/48</v>
      </c>
      <c r="C26" s="105">
        <f>Parameters!B4+22</f>
        <v>57</v>
      </c>
      <c r="D26" s="84">
        <f t="shared" si="3"/>
        <v>1195533.0964880199</v>
      </c>
      <c r="E26" s="84">
        <f>E25*(1+Parameters!B40)</f>
        <v>202493.59965028864</v>
      </c>
      <c r="F26" s="84">
        <f>E26*Parameters!B10</f>
        <v>24299.231958034638</v>
      </c>
      <c r="G26" s="84">
        <f>G25*(1+Parameters!B14)</f>
        <v>8607.8569879004754</v>
      </c>
      <c r="H26" s="84">
        <f>H25*(1+Parameters!B18)</f>
        <v>3443.1427951601904</v>
      </c>
      <c r="I26" s="84">
        <f t="shared" si="0"/>
        <v>36350.231741095304</v>
      </c>
      <c r="J26" s="84">
        <f>(D26+(I26/2))*Parameters!B20</f>
        <v>91028.115926892569</v>
      </c>
      <c r="K26" s="84">
        <f>(F26+G26)*Parameters!B34</f>
        <v>4936.0633418902671</v>
      </c>
      <c r="L26" s="84">
        <f>IF(C26&lt;Parameters!B5,J26*Parameters!B35,J26*Parameters!B36)</f>
        <v>13654.217389033885</v>
      </c>
      <c r="M26" s="84">
        <f>Parameters!B24+(D26+I26/2)*Parameters!B25+Parameters!B26</f>
        <v>7967.1033803306891</v>
      </c>
      <c r="N26" s="84">
        <f>N25*(1+Parameters!B32)</f>
        <v>1724.4930679747038</v>
      </c>
      <c r="O26" s="84">
        <f t="shared" si="1"/>
        <v>99096.470488758307</v>
      </c>
      <c r="P26" s="90">
        <f t="shared" si="2"/>
        <v>1294629.5669767782</v>
      </c>
    </row>
    <row r="27" spans="1:16" ht="15.75" customHeight="1" x14ac:dyDescent="0.35">
      <c r="A27" s="82">
        <v>24</v>
      </c>
      <c r="B27" s="104" t="str">
        <f>TEXT(2048,"0")&amp;"/"&amp;TEXT(RIGHT(TEXT(2049,"0"),2),"00")</f>
        <v>2048/49</v>
      </c>
      <c r="C27" s="106">
        <f>Parameters!B4+23</f>
        <v>58</v>
      </c>
      <c r="D27" s="92">
        <f t="shared" si="3"/>
        <v>1294629.5669767782</v>
      </c>
      <c r="E27" s="92">
        <f>E26*(1+Parameters!B40)</f>
        <v>209580.87563804872</v>
      </c>
      <c r="F27" s="92">
        <f>E27*Parameters!B10</f>
        <v>25149.705076565846</v>
      </c>
      <c r="G27" s="92">
        <f>G26*(1+Parameters!B14)</f>
        <v>8823.0534125979866</v>
      </c>
      <c r="H27" s="92">
        <f>H26*(1+Parameters!B18)</f>
        <v>3529.221365039195</v>
      </c>
      <c r="I27" s="92">
        <f t="shared" si="0"/>
        <v>37501.979854203026</v>
      </c>
      <c r="J27" s="92">
        <f>(D27+(I27/2))*Parameters!B20</f>
        <v>98503.541767790972</v>
      </c>
      <c r="K27" s="92">
        <f>(F27+G27)*Parameters!B34</f>
        <v>5095.9137733745747</v>
      </c>
      <c r="L27" s="92">
        <f>IF(C27&lt;Parameters!B5,J27*Parameters!B35,J27*Parameters!B36)</f>
        <v>14775.531265168645</v>
      </c>
      <c r="M27" s="92">
        <f>Parameters!B24+(D27+I27/2)*Parameters!B25+Parameters!B26</f>
        <v>8614.973619875218</v>
      </c>
      <c r="N27" s="92">
        <f>N26*(1+Parameters!B32)</f>
        <v>1776.227860013945</v>
      </c>
      <c r="O27" s="92">
        <f t="shared" si="1"/>
        <v>105742.87510356163</v>
      </c>
      <c r="P27" s="90">
        <f t="shared" si="2"/>
        <v>1400372.4420803399</v>
      </c>
    </row>
    <row r="28" spans="1:16" ht="15.75" customHeight="1" x14ac:dyDescent="0.35">
      <c r="A28" s="82">
        <v>25</v>
      </c>
      <c r="B28" s="104" t="str">
        <f>TEXT(2049,"0")&amp;"/"&amp;TEXT(RIGHT(TEXT(2050,"0"),2),"00")</f>
        <v>2049/50</v>
      </c>
      <c r="C28" s="105">
        <f>Parameters!B4+24</f>
        <v>59</v>
      </c>
      <c r="D28" s="84">
        <f t="shared" si="3"/>
        <v>1400372.4420803399</v>
      </c>
      <c r="E28" s="84">
        <f>E27*(1+Parameters!B40)</f>
        <v>216916.20628538041</v>
      </c>
      <c r="F28" s="84">
        <f>E28*Parameters!B10</f>
        <v>26029.944754245647</v>
      </c>
      <c r="G28" s="84">
        <f>G27*(1+Parameters!B14)</f>
        <v>9043.6297479129353</v>
      </c>
      <c r="H28" s="84">
        <f>H27*(1+Parameters!B18)</f>
        <v>3617.4518991651744</v>
      </c>
      <c r="I28" s="84">
        <f t="shared" si="0"/>
        <v>38691.026401323754</v>
      </c>
      <c r="J28" s="84">
        <f>(D28+(I28/2))*Parameters!B20</f>
        <v>106478.84664607512</v>
      </c>
      <c r="K28" s="84">
        <f>(F28+G28)*Parameters!B34</f>
        <v>5261.0361753237876</v>
      </c>
      <c r="L28" s="84">
        <f>IF(C28&lt;Parameters!B5,J28*Parameters!B35,J28*Parameters!B36)</f>
        <v>15971.826996911268</v>
      </c>
      <c r="M28" s="84">
        <f>Parameters!B24+(D28+I28/2)*Parameters!B25+Parameters!B26</f>
        <v>9306.1667093265114</v>
      </c>
      <c r="N28" s="84">
        <f>N27*(1+Parameters!B32)</f>
        <v>1829.5146958143634</v>
      </c>
      <c r="O28" s="84">
        <f t="shared" si="1"/>
        <v>112801.32847002293</v>
      </c>
      <c r="P28" s="90">
        <f t="shared" si="2"/>
        <v>1513173.7705503628</v>
      </c>
    </row>
    <row r="29" spans="1:16" ht="15.75" customHeight="1" x14ac:dyDescent="0.35">
      <c r="A29" s="82">
        <v>26</v>
      </c>
      <c r="B29" s="104" t="str">
        <f>TEXT(2050,"0")&amp;"/"&amp;TEXT(RIGHT(TEXT(2051,"0"),2),"00")</f>
        <v>2050/51</v>
      </c>
      <c r="C29" s="106">
        <f>Parameters!B4+25</f>
        <v>60</v>
      </c>
      <c r="D29" s="92">
        <f t="shared" si="3"/>
        <v>1513173.7705503628</v>
      </c>
      <c r="E29" s="92">
        <f>E28*(1+Parameters!B40)</f>
        <v>224508.27350536871</v>
      </c>
      <c r="F29" s="92">
        <f>E29*Parameters!B10</f>
        <v>26940.992820644246</v>
      </c>
      <c r="G29" s="92">
        <f>G28*(1+Parameters!B14)</f>
        <v>9269.7204916107585</v>
      </c>
      <c r="H29" s="92">
        <f>H28*(1+Parameters!B18)</f>
        <v>3707.8881966443032</v>
      </c>
      <c r="I29" s="92">
        <f t="shared" si="0"/>
        <v>39918.601508899301</v>
      </c>
      <c r="J29" s="92">
        <f>(D29+(I29/2))*Parameters!B20</f>
        <v>114984.98034786092</v>
      </c>
      <c r="K29" s="92">
        <f>(F29+G29)*Parameters!B34</f>
        <v>5431.6069968382499</v>
      </c>
      <c r="L29" s="92">
        <f>IF(C29&lt;Parameters!B5,J29*Parameters!B35,J29*Parameters!B36)</f>
        <v>17247.747052179137</v>
      </c>
      <c r="M29" s="92">
        <f>Parameters!B24+(D29+I29/2)*Parameters!B25+Parameters!B26</f>
        <v>10043.364963481279</v>
      </c>
      <c r="N29" s="92">
        <f>N28*(1+Parameters!B32)</f>
        <v>1884.4001366887944</v>
      </c>
      <c r="O29" s="92">
        <f t="shared" si="1"/>
        <v>120296.46270757279</v>
      </c>
      <c r="P29" s="90">
        <f t="shared" si="2"/>
        <v>1633470.2332579356</v>
      </c>
    </row>
    <row r="30" spans="1:16" ht="15.75" customHeight="1" x14ac:dyDescent="0.35">
      <c r="A30" s="82">
        <v>27</v>
      </c>
      <c r="B30" s="104" t="str">
        <f>TEXT(2051,"0")&amp;"/"&amp;TEXT(RIGHT(TEXT(2052,"0"),2),"00")</f>
        <v>2051/52</v>
      </c>
      <c r="C30" s="105">
        <f>Parameters!B4+26</f>
        <v>61</v>
      </c>
      <c r="D30" s="84">
        <f t="shared" si="3"/>
        <v>1633470.2332579356</v>
      </c>
      <c r="E30" s="84">
        <f>E29*(1+Parameters!B40)</f>
        <v>232366.06307805658</v>
      </c>
      <c r="F30" s="84">
        <f>E30*Parameters!B10</f>
        <v>27883.927569366788</v>
      </c>
      <c r="G30" s="84">
        <f>G29*(1+Parameters!B14)</f>
        <v>9501.4635039010263</v>
      </c>
      <c r="H30" s="84">
        <f>H29*(1+Parameters!B18)</f>
        <v>3800.5854015604104</v>
      </c>
      <c r="I30" s="84">
        <f t="shared" si="0"/>
        <v>41185.976474828225</v>
      </c>
      <c r="J30" s="84">
        <f>(D30+(I30/2))*Parameters!B20</f>
        <v>124054.74161215122</v>
      </c>
      <c r="K30" s="84">
        <f>(F30+G30)*Parameters!B34</f>
        <v>5607.808660990172</v>
      </c>
      <c r="L30" s="84">
        <f>IF(C30&lt;Parameters!B5,J30*Parameters!B35,J30*Parameters!B36)</f>
        <v>18608.211241822682</v>
      </c>
      <c r="M30" s="84">
        <f>Parameters!B24+(D30+I30/2)*Parameters!B25+Parameters!B26</f>
        <v>10829.410939719772</v>
      </c>
      <c r="N30" s="84">
        <f>N29*(1+Parameters!B32)</f>
        <v>1940.9321407894583</v>
      </c>
      <c r="O30" s="84">
        <f t="shared" si="1"/>
        <v>128254.35510365733</v>
      </c>
      <c r="P30" s="90">
        <f t="shared" si="2"/>
        <v>1761724.588361593</v>
      </c>
    </row>
    <row r="31" spans="1:16" ht="15.75" customHeight="1" x14ac:dyDescent="0.35">
      <c r="A31" s="82">
        <v>28</v>
      </c>
      <c r="B31" s="104" t="str">
        <f>TEXT(2052,"0")&amp;"/"&amp;TEXT(RIGHT(TEXT(2053,"0"),2),"00")</f>
        <v>2052/53</v>
      </c>
      <c r="C31" s="106">
        <f>Parameters!B4+27</f>
        <v>62</v>
      </c>
      <c r="D31" s="92">
        <f t="shared" si="3"/>
        <v>1761724.588361593</v>
      </c>
      <c r="E31" s="92">
        <f>E30*(1+Parameters!B40)</f>
        <v>240498.87528578856</v>
      </c>
      <c r="F31" s="92">
        <f>E31*Parameters!B10</f>
        <v>28859.865034294624</v>
      </c>
      <c r="G31" s="92">
        <f>G30*(1+Parameters!B14)</f>
        <v>9739.0000914985503</v>
      </c>
      <c r="H31" s="92">
        <f>H30*(1+Parameters!B18)</f>
        <v>3895.6000365994205</v>
      </c>
      <c r="I31" s="92">
        <f t="shared" si="0"/>
        <v>42494.465162392597</v>
      </c>
      <c r="J31" s="92">
        <f>(D31+(I31/2))*Parameters!B20</f>
        <v>133722.8865707092</v>
      </c>
      <c r="K31" s="92">
        <f>(F31+G31)*Parameters!B34</f>
        <v>5789.8297688689763</v>
      </c>
      <c r="L31" s="92">
        <f>IF(C31&lt;Parameters!B5,J31*Parameters!B35,J31*Parameters!B36)</f>
        <v>20058.432985606381</v>
      </c>
      <c r="M31" s="92">
        <f>Parameters!B24+(D31+I31/2)*Parameters!B25+Parameters!B26</f>
        <v>11667.31683612813</v>
      </c>
      <c r="N31" s="92">
        <f>N30*(1+Parameters!B32)</f>
        <v>1999.1601050131421</v>
      </c>
      <c r="O31" s="92">
        <f t="shared" si="1"/>
        <v>136702.61203748517</v>
      </c>
      <c r="P31" s="90">
        <f t="shared" si="2"/>
        <v>1898427.2003990782</v>
      </c>
    </row>
    <row r="32" spans="1:16" ht="15.75" customHeight="1" x14ac:dyDescent="0.35">
      <c r="A32" s="82">
        <v>29</v>
      </c>
      <c r="B32" s="104" t="str">
        <f>TEXT(2053,"0")&amp;"/"&amp;TEXT(RIGHT(TEXT(2054,"0"),2),"00")</f>
        <v>2053/54</v>
      </c>
      <c r="C32" s="105">
        <f>Parameters!B4+28</f>
        <v>63</v>
      </c>
      <c r="D32" s="84">
        <f t="shared" si="3"/>
        <v>1898427.2003990782</v>
      </c>
      <c r="E32" s="84">
        <f>E31*(1+Parameters!B40)</f>
        <v>248916.33592079114</v>
      </c>
      <c r="F32" s="84">
        <f>E32*Parameters!B10</f>
        <v>29869.960310494935</v>
      </c>
      <c r="G32" s="84">
        <f>G31*(1+Parameters!B14)</f>
        <v>9982.4750937860135</v>
      </c>
      <c r="H32" s="84">
        <f>H31*(1+Parameters!B18)</f>
        <v>3992.9900375144057</v>
      </c>
      <c r="I32" s="84">
        <f t="shared" si="0"/>
        <v>43845.425441795356</v>
      </c>
      <c r="J32" s="84">
        <f>(D32+(I32/2))*Parameters!B20</f>
        <v>144026.2434839982</v>
      </c>
      <c r="K32" s="84">
        <f>(F32+G32)*Parameters!B34</f>
        <v>5977.8653106421425</v>
      </c>
      <c r="L32" s="84">
        <f>IF(C32&lt;Parameters!B5,J32*Parameters!B35,J32*Parameters!B36)</f>
        <v>21603.936522599728</v>
      </c>
      <c r="M32" s="84">
        <f>Parameters!B24+(D32+I32/2)*Parameters!B25+Parameters!B26</f>
        <v>12560.274435279844</v>
      </c>
      <c r="N32" s="84">
        <f>N31*(1+Parameters!B32)</f>
        <v>2059.1349081635362</v>
      </c>
      <c r="O32" s="84">
        <f t="shared" si="1"/>
        <v>145670.45774910832</v>
      </c>
      <c r="P32" s="90">
        <f t="shared" si="2"/>
        <v>2044097.6581481865</v>
      </c>
    </row>
    <row r="33" spans="1:16" ht="15.75" customHeight="1" x14ac:dyDescent="0.35">
      <c r="A33" s="82">
        <v>30</v>
      </c>
      <c r="B33" s="104" t="str">
        <f>TEXT(2054,"0")&amp;"/"&amp;TEXT(RIGHT(TEXT(2055,"0"),2),"00")</f>
        <v>2054/55</v>
      </c>
      <c r="C33" s="106">
        <f>Parameters!B4+29</f>
        <v>64</v>
      </c>
      <c r="D33" s="92">
        <f t="shared" si="3"/>
        <v>2044097.6581481865</v>
      </c>
      <c r="E33" s="92">
        <f>E32*(1+Parameters!B40)</f>
        <v>257628.40767801882</v>
      </c>
      <c r="F33" s="92">
        <f>E33*Parameters!B10</f>
        <v>30915.408921362257</v>
      </c>
      <c r="G33" s="92">
        <f>G32*(1+Parameters!B14)</f>
        <v>10232.036971130663</v>
      </c>
      <c r="H33" s="92">
        <f>H32*(1+Parameters!B18)</f>
        <v>4092.8147884522655</v>
      </c>
      <c r="I33" s="92">
        <f t="shared" si="0"/>
        <v>45240.260680945183</v>
      </c>
      <c r="J33" s="92">
        <f>(D33+(I33/2))*Parameters!B20</f>
        <v>155003.83413664941</v>
      </c>
      <c r="K33" s="92">
        <f>(F33+G33)*Parameters!B34</f>
        <v>6172.1168838739377</v>
      </c>
      <c r="L33" s="92">
        <f>IF(C33&lt;Parameters!B5,J33*Parameters!B35,J33*Parameters!B36)</f>
        <v>23250.575120497411</v>
      </c>
      <c r="M33" s="92">
        <f>Parameters!B24+(D33+I33/2)*Parameters!B25+Parameters!B26</f>
        <v>13511.665625176283</v>
      </c>
      <c r="N33" s="92">
        <f>N32*(1+Parameters!B32)</f>
        <v>2120.9089554084426</v>
      </c>
      <c r="O33" s="92">
        <f t="shared" si="1"/>
        <v>155188.82823263854</v>
      </c>
      <c r="P33" s="90">
        <f t="shared" si="2"/>
        <v>2199286.4863808248</v>
      </c>
    </row>
    <row r="34" spans="1:16" ht="19.5" customHeight="1" x14ac:dyDescent="0.35">
      <c r="A34" s="107" t="s">
        <v>453</v>
      </c>
      <c r="B34" s="108"/>
      <c r="C34" s="108"/>
      <c r="D34" s="108"/>
      <c r="E34" s="108"/>
      <c r="F34" s="109">
        <f t="shared" ref="F34:O34" si="4">SUM(F4:F33)</f>
        <v>588023.52096028544</v>
      </c>
      <c r="G34" s="109">
        <f t="shared" si="4"/>
        <v>219513.51581635792</v>
      </c>
      <c r="H34" s="109">
        <f t="shared" si="4"/>
        <v>87805.406326543205</v>
      </c>
      <c r="I34" s="109">
        <f t="shared" si="4"/>
        <v>895342.44310318679</v>
      </c>
      <c r="J34" s="109">
        <f t="shared" si="4"/>
        <v>1795064.3750172381</v>
      </c>
      <c r="K34" s="109">
        <f t="shared" si="4"/>
        <v>121130.55551649649</v>
      </c>
      <c r="L34" s="109">
        <f t="shared" si="4"/>
        <v>269259.6562525857</v>
      </c>
      <c r="M34" s="109">
        <f t="shared" si="4"/>
        <v>157912.24583482728</v>
      </c>
      <c r="N34" s="109">
        <f t="shared" si="4"/>
        <v>42817.874135689824</v>
      </c>
      <c r="O34" s="109">
        <f t="shared" si="4"/>
        <v>2099286.4863808248</v>
      </c>
      <c r="P34" s="109">
        <f>P33</f>
        <v>2199286.4863808248</v>
      </c>
    </row>
  </sheetData>
  <mergeCells count="2">
    <mergeCell ref="A1:P1"/>
    <mergeCell ref="A2:P2"/>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A8C6B"/>
  </sheetPr>
  <dimension ref="A1:Z77"/>
  <sheetViews>
    <sheetView showGridLines="0" zoomScaleNormal="100" workbookViewId="0">
      <pane xSplit="2" ySplit="4" topLeftCell="C5" activePane="bottomRight" state="frozen"/>
      <selection pane="topRight" activeCell="C1" sqref="C1"/>
      <selection pane="bottomLeft" activeCell="A5" sqref="A5"/>
      <selection pane="bottomRight" sqref="A1:Z1"/>
    </sheetView>
  </sheetViews>
  <sheetFormatPr defaultColWidth="8.6328125" defaultRowHeight="14.5" x14ac:dyDescent="0.35"/>
  <cols>
    <col min="1" max="1" width="2" customWidth="1"/>
    <col min="2" max="2" width="26" customWidth="1"/>
    <col min="3" max="7" width="13" customWidth="1"/>
    <col min="8" max="8" width="2" customWidth="1"/>
    <col min="9" max="9" width="26" customWidth="1"/>
    <col min="10" max="12" width="13" customWidth="1"/>
    <col min="13" max="13" width="2" customWidth="1"/>
    <col min="14" max="14" width="26" customWidth="1"/>
    <col min="15" max="16" width="13" customWidth="1"/>
    <col min="17" max="17" width="2" customWidth="1"/>
    <col min="18" max="18" width="26" customWidth="1"/>
    <col min="19" max="19" width="13" customWidth="1"/>
    <col min="20" max="20" width="2" customWidth="1"/>
    <col min="21" max="21" width="26" customWidth="1"/>
    <col min="22" max="23" width="13" customWidth="1"/>
    <col min="24" max="24" width="2" customWidth="1"/>
    <col min="25" max="25" width="20" customWidth="1"/>
    <col min="26" max="26" width="2" customWidth="1"/>
  </cols>
  <sheetData>
    <row r="1" spans="1:26" ht="43.5" customHeight="1" x14ac:dyDescent="0.35">
      <c r="A1" s="9" t="s">
        <v>18</v>
      </c>
      <c r="B1" s="9"/>
      <c r="C1" s="9"/>
      <c r="D1" s="9"/>
      <c r="E1" s="9"/>
      <c r="F1" s="9"/>
      <c r="G1" s="9"/>
      <c r="H1" s="9"/>
      <c r="I1" s="9"/>
      <c r="J1" s="9"/>
      <c r="K1" s="9"/>
      <c r="L1" s="9"/>
      <c r="M1" s="9"/>
      <c r="N1" s="9"/>
      <c r="O1" s="9"/>
      <c r="P1" s="9"/>
      <c r="Q1" s="9"/>
      <c r="R1" s="9"/>
      <c r="S1" s="9"/>
      <c r="T1" s="9"/>
      <c r="U1" s="9"/>
      <c r="V1" s="9"/>
      <c r="W1" s="9"/>
      <c r="X1" s="9"/>
      <c r="Y1" s="9"/>
      <c r="Z1" s="9"/>
    </row>
    <row r="2" spans="1:26" ht="18" customHeight="1" x14ac:dyDescent="0.35">
      <c r="A2" s="8" t="s">
        <v>19</v>
      </c>
      <c r="B2" s="8"/>
      <c r="C2" s="8"/>
      <c r="D2" s="8"/>
      <c r="E2" s="8"/>
      <c r="F2" s="8"/>
      <c r="G2" s="8"/>
      <c r="H2" s="8"/>
      <c r="I2" s="8"/>
      <c r="J2" s="8"/>
      <c r="K2" s="8"/>
      <c r="L2" s="8"/>
      <c r="M2" s="8"/>
      <c r="N2" s="8"/>
      <c r="O2" s="8"/>
      <c r="P2" s="8"/>
      <c r="Q2" s="8"/>
      <c r="R2" s="8"/>
      <c r="S2" s="8"/>
      <c r="T2" s="8"/>
      <c r="U2" s="8"/>
      <c r="V2" s="8"/>
      <c r="W2" s="8"/>
      <c r="X2" s="8"/>
      <c r="Y2" s="8"/>
      <c r="Z2" s="8"/>
    </row>
    <row r="3" spans="1:26" ht="7.5" customHeight="1" x14ac:dyDescent="0.35">
      <c r="A3" s="19"/>
      <c r="B3" s="19"/>
      <c r="C3" s="19"/>
      <c r="D3" s="19"/>
      <c r="E3" s="19"/>
      <c r="F3" s="19"/>
      <c r="G3" s="19"/>
      <c r="H3" s="19"/>
      <c r="I3" s="19"/>
      <c r="J3" s="19"/>
      <c r="K3" s="19"/>
      <c r="L3" s="19"/>
      <c r="M3" s="19"/>
      <c r="N3" s="19"/>
      <c r="O3" s="19"/>
      <c r="P3" s="19"/>
      <c r="Q3" s="19"/>
      <c r="R3" s="19"/>
      <c r="S3" s="19"/>
      <c r="T3" s="19"/>
      <c r="U3" s="19"/>
      <c r="V3" s="19"/>
      <c r="W3" s="19"/>
      <c r="X3" s="19"/>
      <c r="Y3" s="19"/>
      <c r="Z3" s="19"/>
    </row>
    <row r="4" spans="1:26" ht="19.5" customHeight="1" x14ac:dyDescent="0.35">
      <c r="A4" s="12" t="s">
        <v>20</v>
      </c>
      <c r="B4" s="12"/>
      <c r="C4" s="12"/>
      <c r="D4" s="12"/>
      <c r="E4" s="12"/>
      <c r="F4" s="12"/>
      <c r="G4" s="12"/>
      <c r="I4" s="12" t="s">
        <v>21</v>
      </c>
      <c r="J4" s="12"/>
      <c r="K4" s="12"/>
      <c r="L4" s="12"/>
      <c r="M4" s="12"/>
      <c r="N4" s="7" t="s">
        <v>22</v>
      </c>
      <c r="O4" s="7"/>
      <c r="P4" s="7"/>
      <c r="Q4" s="7"/>
      <c r="R4" s="6" t="s">
        <v>23</v>
      </c>
      <c r="S4" s="6"/>
      <c r="T4" s="6"/>
      <c r="U4" s="6"/>
      <c r="V4" s="7" t="s">
        <v>24</v>
      </c>
      <c r="W4" s="7"/>
      <c r="X4" s="7"/>
      <c r="Y4" s="7"/>
    </row>
    <row r="5" spans="1:26" ht="43.5" customHeight="1" x14ac:dyDescent="0.35">
      <c r="B5" s="20" t="s">
        <v>25</v>
      </c>
      <c r="C5" s="15" t="s">
        <v>26</v>
      </c>
      <c r="D5" s="15" t="s">
        <v>27</v>
      </c>
      <c r="E5" s="21" t="s">
        <v>28</v>
      </c>
      <c r="F5" s="22" t="s">
        <v>29</v>
      </c>
      <c r="G5" s="15" t="s">
        <v>30</v>
      </c>
      <c r="I5" s="20" t="s">
        <v>31</v>
      </c>
      <c r="J5" s="15" t="s">
        <v>32</v>
      </c>
      <c r="K5" s="15" t="s">
        <v>33</v>
      </c>
      <c r="L5" s="21" t="s">
        <v>34</v>
      </c>
      <c r="N5" s="15" t="s">
        <v>35</v>
      </c>
      <c r="O5" s="15" t="s">
        <v>36</v>
      </c>
      <c r="P5" s="15" t="s">
        <v>37</v>
      </c>
      <c r="Q5" s="15" t="s">
        <v>38</v>
      </c>
      <c r="R5" s="22" t="s">
        <v>39</v>
      </c>
      <c r="S5" s="22" t="s">
        <v>40</v>
      </c>
      <c r="T5" s="22" t="s">
        <v>41</v>
      </c>
      <c r="U5" s="22" t="s">
        <v>42</v>
      </c>
      <c r="V5" s="15" t="s">
        <v>43</v>
      </c>
      <c r="W5" s="15" t="s">
        <v>44</v>
      </c>
      <c r="X5" s="15" t="s">
        <v>45</v>
      </c>
      <c r="Y5" s="15" t="s">
        <v>46</v>
      </c>
    </row>
    <row r="6" spans="1:26" ht="15.75" customHeight="1" x14ac:dyDescent="0.35">
      <c r="B6" s="23" t="s">
        <v>47</v>
      </c>
      <c r="C6" s="24"/>
      <c r="D6" s="24"/>
      <c r="E6" s="24"/>
      <c r="F6" s="24"/>
      <c r="G6" s="24"/>
      <c r="I6" s="25" t="s">
        <v>48</v>
      </c>
      <c r="J6" s="26">
        <v>100000</v>
      </c>
      <c r="K6" s="26">
        <v>100000</v>
      </c>
      <c r="L6" s="26">
        <v>100000</v>
      </c>
      <c r="N6" s="27" t="s">
        <v>49</v>
      </c>
      <c r="O6" s="24"/>
      <c r="P6" s="24"/>
      <c r="Q6" s="24"/>
      <c r="R6" s="5" t="s">
        <v>50</v>
      </c>
      <c r="S6" s="5"/>
      <c r="T6" s="5"/>
      <c r="U6" s="5"/>
      <c r="V6" s="25" t="s">
        <v>51</v>
      </c>
      <c r="W6" s="26">
        <v>150000</v>
      </c>
      <c r="X6" s="28"/>
      <c r="Y6" s="28"/>
    </row>
    <row r="7" spans="1:26" ht="15.75" customHeight="1" x14ac:dyDescent="0.35">
      <c r="B7" s="29" t="s">
        <v>52</v>
      </c>
      <c r="C7" s="30" t="s">
        <v>53</v>
      </c>
      <c r="D7" s="31" t="s">
        <v>54</v>
      </c>
      <c r="E7" s="32" t="s">
        <v>55</v>
      </c>
      <c r="F7" s="31" t="s">
        <v>56</v>
      </c>
      <c r="G7" s="31" t="s">
        <v>54</v>
      </c>
      <c r="I7" s="25" t="s">
        <v>57</v>
      </c>
      <c r="J7" s="26">
        <v>15000</v>
      </c>
      <c r="K7" s="26">
        <v>15000</v>
      </c>
      <c r="L7" s="26">
        <v>15000</v>
      </c>
      <c r="N7" s="25" t="s">
        <v>58</v>
      </c>
      <c r="O7" s="33" t="s">
        <v>59</v>
      </c>
      <c r="P7" s="33" t="s">
        <v>60</v>
      </c>
      <c r="Q7" s="33" t="s">
        <v>61</v>
      </c>
      <c r="R7" s="25" t="s">
        <v>62</v>
      </c>
      <c r="S7" s="26">
        <v>250000</v>
      </c>
      <c r="T7" s="28"/>
      <c r="U7" s="28"/>
      <c r="V7" s="25" t="s">
        <v>63</v>
      </c>
      <c r="W7" s="34">
        <v>1E-3</v>
      </c>
      <c r="X7" s="28"/>
      <c r="Y7" s="28"/>
    </row>
    <row r="8" spans="1:26" ht="15.75" customHeight="1" x14ac:dyDescent="0.35">
      <c r="B8" s="29" t="s">
        <v>64</v>
      </c>
      <c r="C8" s="30" t="s">
        <v>65</v>
      </c>
      <c r="D8" s="31" t="s">
        <v>66</v>
      </c>
      <c r="E8" s="32" t="s">
        <v>67</v>
      </c>
      <c r="F8" s="31" t="s">
        <v>68</v>
      </c>
      <c r="G8" s="31" t="s">
        <v>69</v>
      </c>
      <c r="I8" s="25" t="s">
        <v>70</v>
      </c>
      <c r="J8" s="35">
        <v>0.05</v>
      </c>
      <c r="K8" s="35">
        <v>7.4999999999999997E-2</v>
      </c>
      <c r="L8" s="35">
        <v>0.09</v>
      </c>
      <c r="N8" s="25" t="s">
        <v>71</v>
      </c>
      <c r="O8" s="33" t="s">
        <v>72</v>
      </c>
      <c r="P8" s="33" t="s">
        <v>73</v>
      </c>
      <c r="Q8" s="33" t="s">
        <v>74</v>
      </c>
      <c r="R8" s="25" t="s">
        <v>75</v>
      </c>
      <c r="S8" s="35">
        <v>-0.2</v>
      </c>
      <c r="T8" s="28"/>
      <c r="U8" s="28"/>
      <c r="V8" s="25" t="s">
        <v>76</v>
      </c>
      <c r="W8" s="34">
        <v>1.5E-3</v>
      </c>
      <c r="X8" s="28"/>
      <c r="Y8" s="28"/>
    </row>
    <row r="9" spans="1:26" ht="15.75" customHeight="1" x14ac:dyDescent="0.35">
      <c r="B9" s="29" t="s">
        <v>77</v>
      </c>
      <c r="C9" s="30" t="s">
        <v>78</v>
      </c>
      <c r="D9" s="31" t="s">
        <v>79</v>
      </c>
      <c r="E9" s="32" t="s">
        <v>80</v>
      </c>
      <c r="F9" s="31" t="s">
        <v>80</v>
      </c>
      <c r="G9" s="31" t="s">
        <v>79</v>
      </c>
      <c r="I9" s="25" t="s">
        <v>81</v>
      </c>
      <c r="J9" s="35">
        <v>2E-3</v>
      </c>
      <c r="K9" s="35">
        <v>6.0000000000000001E-3</v>
      </c>
      <c r="L9" s="35">
        <v>8.9999999999999993E-3</v>
      </c>
      <c r="N9" s="25" t="s">
        <v>82</v>
      </c>
      <c r="O9" s="33" t="s">
        <v>83</v>
      </c>
      <c r="P9" s="33" t="s">
        <v>84</v>
      </c>
      <c r="Q9" s="33" t="s">
        <v>85</v>
      </c>
      <c r="R9" s="25" t="s">
        <v>86</v>
      </c>
      <c r="S9" s="36">
        <v>6</v>
      </c>
      <c r="T9" s="28"/>
      <c r="U9" s="28"/>
      <c r="V9" s="25" t="s">
        <v>87</v>
      </c>
      <c r="W9" s="35">
        <v>0.02</v>
      </c>
      <c r="X9" s="28"/>
      <c r="Y9" s="28"/>
    </row>
    <row r="10" spans="1:26" ht="15.75" customHeight="1" x14ac:dyDescent="0.35">
      <c r="B10" s="29" t="s">
        <v>88</v>
      </c>
      <c r="C10" s="30" t="s">
        <v>89</v>
      </c>
      <c r="D10" s="31" t="s">
        <v>90</v>
      </c>
      <c r="E10" s="32" t="s">
        <v>91</v>
      </c>
      <c r="F10" s="31" t="s">
        <v>92</v>
      </c>
      <c r="G10" s="31" t="s">
        <v>93</v>
      </c>
      <c r="I10" s="25" t="s">
        <v>94</v>
      </c>
      <c r="J10" s="35">
        <v>2.5000000000000001E-2</v>
      </c>
      <c r="K10" s="35">
        <v>2.5000000000000001E-2</v>
      </c>
      <c r="L10" s="35">
        <v>2.5000000000000001E-2</v>
      </c>
      <c r="N10" s="25" t="s">
        <v>95</v>
      </c>
      <c r="O10" s="33" t="s">
        <v>96</v>
      </c>
      <c r="P10" s="33" t="s">
        <v>97</v>
      </c>
      <c r="Q10" s="33" t="s">
        <v>98</v>
      </c>
      <c r="R10" s="25" t="s">
        <v>99</v>
      </c>
      <c r="S10" s="36">
        <v>12</v>
      </c>
      <c r="T10" s="28"/>
      <c r="U10" s="28"/>
      <c r="V10" s="25" t="s">
        <v>100</v>
      </c>
      <c r="W10" s="37">
        <v>20</v>
      </c>
      <c r="X10" s="28"/>
      <c r="Y10" s="28"/>
    </row>
    <row r="11" spans="1:26" ht="4.5" customHeight="1" x14ac:dyDescent="0.35">
      <c r="A11" s="19"/>
      <c r="B11" s="38" t="s">
        <v>101</v>
      </c>
      <c r="C11" s="39"/>
      <c r="D11" s="39"/>
      <c r="E11" s="39"/>
      <c r="F11" s="39"/>
      <c r="G11" s="39"/>
      <c r="H11" s="19"/>
      <c r="I11" s="40" t="s">
        <v>102</v>
      </c>
      <c r="J11" s="41">
        <v>30</v>
      </c>
      <c r="K11" s="41">
        <v>30</v>
      </c>
      <c r="L11" s="41">
        <v>30</v>
      </c>
      <c r="M11" s="19"/>
      <c r="N11" s="40" t="s">
        <v>103</v>
      </c>
      <c r="O11" s="42" t="s">
        <v>104</v>
      </c>
      <c r="P11" s="42" t="s">
        <v>105</v>
      </c>
      <c r="Q11" s="42" t="s">
        <v>106</v>
      </c>
      <c r="R11" s="40" t="s">
        <v>107</v>
      </c>
      <c r="S11" s="43">
        <v>0.04</v>
      </c>
      <c r="T11" s="44"/>
      <c r="U11" s="44"/>
      <c r="V11" s="19"/>
      <c r="W11" s="19"/>
      <c r="X11" s="19"/>
      <c r="Y11" s="19"/>
      <c r="Z11" s="19"/>
    </row>
    <row r="12" spans="1:26" ht="15.75" customHeight="1" x14ac:dyDescent="0.35">
      <c r="A12" s="19"/>
      <c r="B12" s="45" t="s">
        <v>108</v>
      </c>
      <c r="C12" s="42" t="s">
        <v>109</v>
      </c>
      <c r="D12" s="42" t="s">
        <v>110</v>
      </c>
      <c r="E12" s="42" t="s">
        <v>84</v>
      </c>
      <c r="F12" s="42" t="s">
        <v>60</v>
      </c>
      <c r="G12" s="42" t="s">
        <v>111</v>
      </c>
      <c r="H12" s="19"/>
      <c r="I12" s="19"/>
      <c r="J12" s="19"/>
      <c r="K12" s="19"/>
      <c r="L12" s="19"/>
      <c r="M12" s="19"/>
      <c r="N12" s="25" t="s">
        <v>112</v>
      </c>
      <c r="O12" s="33" t="s">
        <v>113</v>
      </c>
      <c r="P12" s="33" t="s">
        <v>113</v>
      </c>
      <c r="Q12" s="33" t="s">
        <v>114</v>
      </c>
      <c r="R12" s="25" t="s">
        <v>115</v>
      </c>
      <c r="S12" s="35">
        <v>0.08</v>
      </c>
      <c r="T12" s="28"/>
      <c r="U12" s="28"/>
      <c r="V12" s="5" t="s">
        <v>116</v>
      </c>
      <c r="W12" s="5"/>
      <c r="X12" s="5"/>
      <c r="Y12" s="5"/>
      <c r="Z12" s="19"/>
    </row>
    <row r="13" spans="1:26" ht="16.5" customHeight="1" x14ac:dyDescent="0.35">
      <c r="B13" s="29" t="s">
        <v>117</v>
      </c>
      <c r="C13" s="30" t="s">
        <v>118</v>
      </c>
      <c r="D13" s="31" t="s">
        <v>119</v>
      </c>
      <c r="E13" s="32" t="s">
        <v>83</v>
      </c>
      <c r="F13" s="31" t="s">
        <v>59</v>
      </c>
      <c r="G13" s="31" t="s">
        <v>120</v>
      </c>
      <c r="I13" s="5" t="s">
        <v>121</v>
      </c>
      <c r="J13" s="5"/>
      <c r="K13" s="5"/>
      <c r="L13" s="5"/>
      <c r="N13" s="25" t="s">
        <v>122</v>
      </c>
      <c r="O13" s="33" t="s">
        <v>105</v>
      </c>
      <c r="P13" s="33" t="s">
        <v>104</v>
      </c>
      <c r="Q13" s="33" t="s">
        <v>123</v>
      </c>
      <c r="R13" s="25" t="s">
        <v>100</v>
      </c>
      <c r="S13" s="37">
        <v>15</v>
      </c>
      <c r="T13" s="28"/>
      <c r="U13" s="28"/>
      <c r="V13" s="29" t="s">
        <v>124</v>
      </c>
      <c r="W13" s="46">
        <f>W6*W7</f>
        <v>150</v>
      </c>
      <c r="X13" s="47" t="s">
        <v>125</v>
      </c>
      <c r="Y13" s="47" t="s">
        <v>125</v>
      </c>
    </row>
    <row r="14" spans="1:26" ht="16.5" customHeight="1" x14ac:dyDescent="0.35">
      <c r="A14" s="19"/>
      <c r="B14" s="45" t="s">
        <v>126</v>
      </c>
      <c r="C14" s="42" t="s">
        <v>60</v>
      </c>
      <c r="D14" s="42" t="s">
        <v>127</v>
      </c>
      <c r="E14" s="42" t="s">
        <v>128</v>
      </c>
      <c r="F14" s="42" t="s">
        <v>105</v>
      </c>
      <c r="G14" s="42" t="s">
        <v>84</v>
      </c>
      <c r="H14" s="19"/>
      <c r="I14" s="40" t="s">
        <v>129</v>
      </c>
      <c r="J14" s="48">
        <f>J8-J9</f>
        <v>4.8000000000000001E-2</v>
      </c>
      <c r="K14" s="48">
        <f>K8-K9</f>
        <v>6.8999999999999992E-2</v>
      </c>
      <c r="L14" s="48">
        <f>L8-L9</f>
        <v>8.1000000000000003E-2</v>
      </c>
      <c r="M14" s="19"/>
      <c r="N14" s="40" t="s">
        <v>130</v>
      </c>
      <c r="O14" s="42" t="s">
        <v>111</v>
      </c>
      <c r="P14" s="42" t="s">
        <v>120</v>
      </c>
      <c r="Q14" s="42" t="s">
        <v>131</v>
      </c>
      <c r="R14" s="19"/>
      <c r="S14" s="19"/>
      <c r="T14" s="19"/>
      <c r="U14" s="19"/>
      <c r="V14" s="29" t="s">
        <v>132</v>
      </c>
      <c r="W14" s="47" t="s">
        <v>125</v>
      </c>
      <c r="X14" s="46">
        <f>W6*W8</f>
        <v>225</v>
      </c>
      <c r="Y14" s="47" t="s">
        <v>125</v>
      </c>
      <c r="Z14" s="19"/>
    </row>
    <row r="15" spans="1:26" ht="16.5" customHeight="1" x14ac:dyDescent="0.35">
      <c r="B15" s="29" t="s">
        <v>133</v>
      </c>
      <c r="C15" s="30" t="s">
        <v>60</v>
      </c>
      <c r="D15" s="31" t="s">
        <v>127</v>
      </c>
      <c r="E15" s="32" t="s">
        <v>110</v>
      </c>
      <c r="F15" s="31" t="s">
        <v>134</v>
      </c>
      <c r="G15" s="31" t="s">
        <v>84</v>
      </c>
      <c r="I15" s="25" t="s">
        <v>135</v>
      </c>
      <c r="J15" s="49">
        <f>(1+J8-J9)/(1+J10)-1</f>
        <v>2.2439024390243922E-2</v>
      </c>
      <c r="K15" s="49">
        <f>(1+K8-K9)/(1+K10)-1</f>
        <v>4.2926829268292721E-2</v>
      </c>
      <c r="L15" s="49">
        <f>(1+L8-L9)/(1+L10)-1</f>
        <v>5.4634146341463685E-2</v>
      </c>
      <c r="N15" s="27" t="s">
        <v>136</v>
      </c>
      <c r="O15" s="24"/>
      <c r="P15" s="24"/>
      <c r="Q15" s="24"/>
      <c r="R15" s="5" t="s">
        <v>137</v>
      </c>
      <c r="S15" s="5"/>
      <c r="T15" s="5"/>
      <c r="U15" s="5"/>
      <c r="V15" s="29" t="s">
        <v>138</v>
      </c>
      <c r="W15" s="47" t="s">
        <v>125</v>
      </c>
      <c r="X15" s="47" t="s">
        <v>125</v>
      </c>
      <c r="Y15" s="46">
        <f>W6*(W7+W8)</f>
        <v>375</v>
      </c>
    </row>
    <row r="16" spans="1:26" ht="16.5" customHeight="1" x14ac:dyDescent="0.35">
      <c r="B16" s="29" t="s">
        <v>139</v>
      </c>
      <c r="C16" s="30" t="s">
        <v>60</v>
      </c>
      <c r="D16" s="31" t="s">
        <v>140</v>
      </c>
      <c r="E16" s="32" t="s">
        <v>140</v>
      </c>
      <c r="F16" s="31" t="s">
        <v>60</v>
      </c>
      <c r="G16" s="31" t="s">
        <v>73</v>
      </c>
      <c r="I16" s="25" t="s">
        <v>141</v>
      </c>
      <c r="J16" s="50">
        <f>J6*(1+J8-J9)^J11+J7*((1+J8-J9)^J11-1)/(J8-J9)</f>
        <v>1371191.1624106918</v>
      </c>
      <c r="K16" s="50">
        <f>K6*(1+K8-K9)^K11+K7*((1+K8-K9)^K11-1)/(K8-K9)</f>
        <v>2131842.1692801751</v>
      </c>
      <c r="L16" s="50">
        <f>L6*(1+L8-L9)^L11+L7*((1+L8-L9)^L11-1)/(L8-L9)</f>
        <v>2765329.4937433326</v>
      </c>
      <c r="N16" s="51" t="s">
        <v>142</v>
      </c>
      <c r="O16" s="30" t="s">
        <v>143</v>
      </c>
      <c r="P16" s="30" t="s">
        <v>144</v>
      </c>
      <c r="Q16" s="30" t="s">
        <v>145</v>
      </c>
      <c r="R16" s="29" t="s">
        <v>146</v>
      </c>
      <c r="S16" s="52">
        <f>S7*(1+S8*(S9/12))</f>
        <v>225000</v>
      </c>
      <c r="T16" s="53">
        <f>S7*(1+S12/12)^S9</f>
        <v>260168.15557533051</v>
      </c>
      <c r="U16" s="54"/>
      <c r="V16" s="29" t="s">
        <v>147</v>
      </c>
      <c r="W16" s="55" t="s">
        <v>125</v>
      </c>
      <c r="X16" s="55" t="s">
        <v>125</v>
      </c>
      <c r="Y16" s="56">
        <f>IF(W9&gt;0,(W6*(W7+W8))/(W6*W9),"No better return")</f>
        <v>0.125</v>
      </c>
    </row>
    <row r="17" spans="1:26" ht="16.5" customHeight="1" x14ac:dyDescent="0.35">
      <c r="B17" s="29" t="s">
        <v>148</v>
      </c>
      <c r="C17" s="30" t="s">
        <v>149</v>
      </c>
      <c r="D17" s="31" t="s">
        <v>127</v>
      </c>
      <c r="E17" s="32" t="s">
        <v>150</v>
      </c>
      <c r="F17" s="31" t="s">
        <v>151</v>
      </c>
      <c r="G17" s="31" t="s">
        <v>127</v>
      </c>
      <c r="I17" s="25" t="s">
        <v>152</v>
      </c>
      <c r="J17" s="52">
        <f>J7*J11</f>
        <v>450000</v>
      </c>
      <c r="K17" s="52">
        <f>K7*K11</f>
        <v>450000</v>
      </c>
      <c r="L17" s="52">
        <f>L7*L11</f>
        <v>450000</v>
      </c>
      <c r="N17" s="51" t="s">
        <v>153</v>
      </c>
      <c r="O17" s="30" t="s">
        <v>154</v>
      </c>
      <c r="P17" s="30" t="s">
        <v>144</v>
      </c>
      <c r="Q17" s="30" t="s">
        <v>155</v>
      </c>
      <c r="R17" s="29" t="s">
        <v>156</v>
      </c>
      <c r="S17" s="52">
        <f>S16*(1+S11/12)^S10</f>
        <v>234166.84715695292</v>
      </c>
      <c r="T17" s="53">
        <f>T16*(1+S12/12)^S10</f>
        <v>281761.98417510249</v>
      </c>
      <c r="U17" s="54"/>
      <c r="V17" s="29" t="s">
        <v>157</v>
      </c>
      <c r="W17" s="55" t="s">
        <v>125</v>
      </c>
      <c r="X17" s="55" t="s">
        <v>125</v>
      </c>
      <c r="Y17" s="50">
        <f>W6*((1+W9)^W10-1)-W6*(W7+W8)</f>
        <v>72517.109396753134</v>
      </c>
    </row>
    <row r="18" spans="1:26" ht="18" customHeight="1" x14ac:dyDescent="0.35">
      <c r="B18" s="29" t="s">
        <v>158</v>
      </c>
      <c r="C18" s="30" t="s">
        <v>127</v>
      </c>
      <c r="D18" s="31" t="s">
        <v>60</v>
      </c>
      <c r="E18" s="32" t="s">
        <v>159</v>
      </c>
      <c r="F18" s="31" t="s">
        <v>160</v>
      </c>
      <c r="G18" s="31" t="s">
        <v>60</v>
      </c>
      <c r="I18" s="25" t="s">
        <v>161</v>
      </c>
      <c r="J18" s="50">
        <f>J16-J6-J17</f>
        <v>821191.16241069185</v>
      </c>
      <c r="K18" s="50">
        <f>K16-K6-K17</f>
        <v>1581842.1692801751</v>
      </c>
      <c r="L18" s="50">
        <f>L16-L6-L17</f>
        <v>2215329.4937433326</v>
      </c>
      <c r="N18" s="51" t="s">
        <v>162</v>
      </c>
      <c r="O18" s="30" t="s">
        <v>163</v>
      </c>
      <c r="P18" s="30" t="s">
        <v>125</v>
      </c>
      <c r="Q18" s="30" t="s">
        <v>164</v>
      </c>
      <c r="R18" s="29" t="s">
        <v>165</v>
      </c>
      <c r="S18" s="52">
        <f>S17*(1+S12)^(S13-S10/12)</f>
        <v>687793.37048191973</v>
      </c>
      <c r="T18" s="53">
        <f>T17*(1+S12)^(S13-S10/12)</f>
        <v>827589.50347729831</v>
      </c>
      <c r="U18" s="54"/>
    </row>
    <row r="19" spans="1:26" ht="18" customHeight="1" x14ac:dyDescent="0.35">
      <c r="B19" s="23" t="s">
        <v>166</v>
      </c>
      <c r="C19" s="24"/>
      <c r="D19" s="24"/>
      <c r="E19" s="24"/>
      <c r="F19" s="24"/>
      <c r="G19" s="24"/>
      <c r="I19" s="25" t="s">
        <v>167</v>
      </c>
      <c r="J19" s="53">
        <f>J7*J11*J9*J11/2+J6*J9*J11</f>
        <v>19500</v>
      </c>
      <c r="K19" s="53">
        <f>K7*K11*K9*K11/2+K6*K9*K11</f>
        <v>58500</v>
      </c>
      <c r="L19" s="53">
        <f>L7*L11*L9*L11/2+L6*L9*L11</f>
        <v>87749.999999999985</v>
      </c>
      <c r="N19" s="27" t="s">
        <v>168</v>
      </c>
      <c r="O19" s="24"/>
      <c r="P19" s="24"/>
      <c r="Q19" s="24"/>
      <c r="R19" s="57" t="s">
        <v>169</v>
      </c>
      <c r="S19" s="58">
        <f>S18</f>
        <v>687793.37048191973</v>
      </c>
      <c r="T19" s="58">
        <f>T18</f>
        <v>827589.50347729831</v>
      </c>
      <c r="U19" s="54"/>
    </row>
    <row r="20" spans="1:26" ht="18" customHeight="1" x14ac:dyDescent="0.35">
      <c r="B20" s="29" t="s">
        <v>170</v>
      </c>
      <c r="C20" s="30" t="s">
        <v>171</v>
      </c>
      <c r="D20" s="31" t="s">
        <v>172</v>
      </c>
      <c r="E20" s="32" t="s">
        <v>173</v>
      </c>
      <c r="F20" s="31" t="s">
        <v>174</v>
      </c>
      <c r="G20" s="31" t="s">
        <v>175</v>
      </c>
      <c r="I20" s="25" t="s">
        <v>176</v>
      </c>
      <c r="J20" s="50">
        <f>J16/(1+J10)^J11</f>
        <v>653705.35666408995</v>
      </c>
      <c r="K20" s="50">
        <f>K16/(1+K10)^K11</f>
        <v>1016340.1601646565</v>
      </c>
      <c r="L20" s="50">
        <f>L16/(1+L10)^L11</f>
        <v>1318350.608257331</v>
      </c>
      <c r="N20" s="59" t="s">
        <v>177</v>
      </c>
      <c r="O20" s="31" t="s">
        <v>144</v>
      </c>
      <c r="P20" s="31" t="s">
        <v>144</v>
      </c>
      <c r="Q20" s="31" t="s">
        <v>178</v>
      </c>
      <c r="R20" s="60" t="s">
        <v>179</v>
      </c>
      <c r="S20" s="46">
        <f>T19-S19</f>
        <v>139796.13299537858</v>
      </c>
      <c r="T20" s="61" t="s">
        <v>125</v>
      </c>
      <c r="U20" s="46">
        <f>T19-S19</f>
        <v>139796.13299537858</v>
      </c>
    </row>
    <row r="21" spans="1:26" ht="18" customHeight="1" x14ac:dyDescent="0.35">
      <c r="B21" s="29" t="s">
        <v>180</v>
      </c>
      <c r="C21" s="30" t="s">
        <v>181</v>
      </c>
      <c r="D21" s="31" t="s">
        <v>182</v>
      </c>
      <c r="E21" s="32" t="s">
        <v>183</v>
      </c>
      <c r="F21" s="31" t="s">
        <v>184</v>
      </c>
      <c r="G21" s="31" t="s">
        <v>185</v>
      </c>
      <c r="N21" s="59" t="s">
        <v>186</v>
      </c>
      <c r="O21" s="31" t="s">
        <v>187</v>
      </c>
      <c r="P21" s="31" t="s">
        <v>125</v>
      </c>
      <c r="Q21" s="31" t="s">
        <v>188</v>
      </c>
      <c r="R21" s="60" t="s">
        <v>189</v>
      </c>
      <c r="S21" s="62">
        <f>IF(T19&gt;0,(T19-S19)/T19,0)</f>
        <v>0.16891965450020155</v>
      </c>
      <c r="T21" s="61" t="s">
        <v>125</v>
      </c>
      <c r="U21" s="63"/>
    </row>
    <row r="22" spans="1:26" ht="18" customHeight="1" x14ac:dyDescent="0.35">
      <c r="B22" s="23" t="s">
        <v>190</v>
      </c>
      <c r="C22" s="24"/>
      <c r="D22" s="24"/>
      <c r="E22" s="24"/>
      <c r="F22" s="24"/>
      <c r="G22" s="24"/>
      <c r="I22" s="4" t="s">
        <v>191</v>
      </c>
      <c r="J22" s="4"/>
      <c r="K22" s="4"/>
      <c r="L22" s="4"/>
      <c r="N22" s="59" t="s">
        <v>192</v>
      </c>
      <c r="O22" s="31" t="s">
        <v>193</v>
      </c>
      <c r="P22" s="31" t="s">
        <v>125</v>
      </c>
      <c r="Q22" s="31" t="s">
        <v>194</v>
      </c>
      <c r="R22" s="60" t="s">
        <v>195</v>
      </c>
      <c r="S22" s="64">
        <f>IF(T19*0.05&gt;0,(T19-S19)/(T19*0.05),0)</f>
        <v>3.3783930900040304</v>
      </c>
      <c r="T22" s="61" t="s">
        <v>125</v>
      </c>
      <c r="U22" s="63"/>
    </row>
    <row r="23" spans="1:26" ht="4.5" customHeight="1" x14ac:dyDescent="0.35">
      <c r="A23" s="19"/>
      <c r="B23" s="45" t="s">
        <v>196</v>
      </c>
      <c r="C23" s="42" t="s">
        <v>197</v>
      </c>
      <c r="D23" s="42" t="s">
        <v>198</v>
      </c>
      <c r="E23" s="42" t="s">
        <v>199</v>
      </c>
      <c r="F23" s="42" t="s">
        <v>200</v>
      </c>
      <c r="G23" s="42" t="s">
        <v>201</v>
      </c>
      <c r="H23" s="19"/>
      <c r="I23" s="44">
        <v>0</v>
      </c>
      <c r="J23" s="65">
        <f>$J$6</f>
        <v>100000</v>
      </c>
      <c r="K23" s="65">
        <f>$K$6</f>
        <v>100000</v>
      </c>
      <c r="L23" s="65">
        <f>$L$6</f>
        <v>100000</v>
      </c>
      <c r="M23" s="19"/>
      <c r="N23" s="66" t="s">
        <v>202</v>
      </c>
      <c r="O23" s="39"/>
      <c r="P23" s="39"/>
      <c r="Q23" s="39"/>
      <c r="R23" s="19"/>
      <c r="S23" s="19"/>
      <c r="T23" s="19"/>
      <c r="U23" s="19"/>
      <c r="V23" s="19"/>
      <c r="W23" s="19"/>
      <c r="X23" s="19"/>
      <c r="Y23" s="19"/>
      <c r="Z23" s="19"/>
    </row>
    <row r="24" spans="1:26" ht="19.5" customHeight="1" x14ac:dyDescent="0.35">
      <c r="B24" s="29" t="s">
        <v>203</v>
      </c>
      <c r="C24" s="30" t="s">
        <v>204</v>
      </c>
      <c r="D24" s="31" t="s">
        <v>205</v>
      </c>
      <c r="E24" s="32" t="s">
        <v>206</v>
      </c>
      <c r="F24" s="31" t="s">
        <v>207</v>
      </c>
      <c r="G24" s="31" t="s">
        <v>208</v>
      </c>
      <c r="I24" s="67">
        <v>1</v>
      </c>
      <c r="J24" s="67">
        <f>IF(1=0,$J$6,$J$6*(1+$J$8-$J$9)^1+$J$7*((1+$J$8-$J$9)^1-1)/($J$8-$J$9))</f>
        <v>119800.00000000001</v>
      </c>
      <c r="K24" s="67">
        <f>IF(1=0,$K$6,$K$6*(1+$K$8-$K$9)^1+$K$7*((1+$K$8-$K$9)^1-1)/($K$8-$K$9))</f>
        <v>121900</v>
      </c>
      <c r="L24" s="67">
        <f>IF(1=0,$L$6,$L$6*(1+$L$8-$L$9)^1+$L$7*((1+$L$8-$L$9)^1-1)/($L$8-$L$9))</f>
        <v>123100.00000000004</v>
      </c>
      <c r="N24" s="59" t="s">
        <v>209</v>
      </c>
      <c r="O24" s="31" t="s">
        <v>210</v>
      </c>
      <c r="P24" s="31" t="s">
        <v>125</v>
      </c>
      <c r="Q24" s="31" t="s">
        <v>211</v>
      </c>
      <c r="R24" s="7" t="s">
        <v>212</v>
      </c>
      <c r="S24" s="7"/>
      <c r="T24" s="7"/>
      <c r="U24" s="7"/>
      <c r="V24" s="7"/>
      <c r="W24" s="7"/>
      <c r="X24" s="7"/>
      <c r="Y24" s="7"/>
    </row>
    <row r="25" spans="1:26" ht="21.75" customHeight="1" x14ac:dyDescent="0.35">
      <c r="B25" s="29" t="s">
        <v>213</v>
      </c>
      <c r="C25" s="30" t="s">
        <v>214</v>
      </c>
      <c r="D25" s="31" t="s">
        <v>215</v>
      </c>
      <c r="E25" s="32" t="s">
        <v>207</v>
      </c>
      <c r="F25" s="31" t="s">
        <v>216</v>
      </c>
      <c r="G25" s="31" t="s">
        <v>215</v>
      </c>
      <c r="I25" s="67">
        <v>2</v>
      </c>
      <c r="J25" s="67">
        <f>IF(2=0,$J$6,$J$6*(1+$J$8-$J$9)^2+$J$7*((1+$J$8-$J$9)^2-1)/($J$8-$J$9))</f>
        <v>140550.40000000008</v>
      </c>
      <c r="K25" s="67">
        <f>IF(2=0,$K$6,$K$6*(1+$K$8-$K$9)^2+$K$7*((1+$K$8-$K$9)^2-1)/($K$8-$K$9))</f>
        <v>145311.09999999998</v>
      </c>
      <c r="L25" s="67">
        <f>IF(2=0,$L$6,$L$6*(1+$L$8-$L$9)^2+$L$7*((1+$L$8-$L$9)^2-1)/($L$8-$L$9))</f>
        <v>148071.10000000009</v>
      </c>
      <c r="N25" s="59" t="s">
        <v>217</v>
      </c>
      <c r="O25" s="31" t="s">
        <v>218</v>
      </c>
      <c r="P25" s="31" t="s">
        <v>125</v>
      </c>
      <c r="Q25" s="31" t="s">
        <v>219</v>
      </c>
      <c r="R25" s="68" t="s">
        <v>220</v>
      </c>
      <c r="S25" s="3" t="s">
        <v>221</v>
      </c>
      <c r="T25" s="3"/>
      <c r="U25" s="3"/>
    </row>
    <row r="26" spans="1:26" ht="21.75" customHeight="1" x14ac:dyDescent="0.35">
      <c r="B26" s="23" t="s">
        <v>222</v>
      </c>
      <c r="C26" s="24"/>
      <c r="D26" s="24"/>
      <c r="E26" s="24"/>
      <c r="F26" s="24"/>
      <c r="G26" s="24"/>
      <c r="I26" s="67">
        <v>3</v>
      </c>
      <c r="J26" s="67">
        <f>IF(3=0,$J$6,$J$6*(1+$J$8-$J$9)^3+$J$7*((1+$J$8-$J$9)^3-1)/($J$8-$J$9))</f>
        <v>162296.81920000006</v>
      </c>
      <c r="K26" s="67">
        <f>IF(3=0,$K$6,$K$6*(1+$K$8-$K$9)^3+$K$7*((1+$K$8-$K$9)^3-1)/($K$8-$K$9))</f>
        <v>170337.56589999999</v>
      </c>
      <c r="L26" s="67">
        <f>IF(3=0,$L$6,$L$6*(1+$L$8-$L$9)^3+$L$7*((1+$L$8-$L$9)^3-1)/($L$8-$L$9))</f>
        <v>175064.85910000015</v>
      </c>
      <c r="R26" s="68" t="s">
        <v>223</v>
      </c>
      <c r="S26" s="3" t="s">
        <v>224</v>
      </c>
      <c r="T26" s="3"/>
      <c r="U26" s="3"/>
    </row>
    <row r="27" spans="1:26" ht="21.75" customHeight="1" x14ac:dyDescent="0.35">
      <c r="A27" s="19"/>
      <c r="B27" s="45" t="s">
        <v>225</v>
      </c>
      <c r="C27" s="42" t="s">
        <v>226</v>
      </c>
      <c r="D27" s="42" t="s">
        <v>227</v>
      </c>
      <c r="E27" s="42" t="s">
        <v>228</v>
      </c>
      <c r="F27" s="42" t="s">
        <v>229</v>
      </c>
      <c r="G27" s="42" t="s">
        <v>230</v>
      </c>
      <c r="H27" s="19"/>
      <c r="I27" s="44">
        <v>4</v>
      </c>
      <c r="J27" s="44">
        <f>IF(4=0,$J$6,$J$6*(1+$J$8-$J$9)^4+$J$7*((1+$J$8-$J$9)^4-1)/($J$8-$J$9))</f>
        <v>185087.06652160018</v>
      </c>
      <c r="K27" s="44">
        <f>IF(4=0,$K$6,$K$6*(1+$K$8-$K$9)^4+$K$7*((1+$K$8-$K$9)^4-1)/($K$8-$K$9))</f>
        <v>197090.85794709995</v>
      </c>
      <c r="L27" s="44">
        <f>IF(4=0,$L$6,$L$6*(1+$L$8-$L$9)^4+$L$7*((1+$L$8-$L$9)^4-1)/($L$8-$L$9))</f>
        <v>204245.11268710031</v>
      </c>
      <c r="M27" s="19"/>
      <c r="N27" s="19"/>
      <c r="O27" s="19"/>
      <c r="P27" s="19"/>
      <c r="Q27" s="19"/>
      <c r="R27" s="68" t="s">
        <v>231</v>
      </c>
      <c r="S27" s="3" t="s">
        <v>232</v>
      </c>
      <c r="T27" s="3"/>
      <c r="U27" s="3"/>
      <c r="V27" s="19"/>
      <c r="W27" s="19"/>
      <c r="X27" s="19"/>
      <c r="Y27" s="19"/>
      <c r="Z27" s="19"/>
    </row>
    <row r="28" spans="1:26" ht="21.75" customHeight="1" x14ac:dyDescent="0.35">
      <c r="B28" s="69" t="s">
        <v>233</v>
      </c>
      <c r="C28" s="30" t="s">
        <v>234</v>
      </c>
      <c r="D28" s="31" t="s">
        <v>235</v>
      </c>
      <c r="E28" s="32" t="s">
        <v>236</v>
      </c>
      <c r="F28" s="31" t="s">
        <v>237</v>
      </c>
      <c r="G28" s="31" t="s">
        <v>238</v>
      </c>
      <c r="I28" s="67">
        <v>5</v>
      </c>
      <c r="J28" s="67">
        <f>IF(5=0,$J$6,$J$6*(1+$J$8-$J$9)^5+$J$7*((1+$J$8-$J$9)^5-1)/($J$8-$J$9))</f>
        <v>208971.24571463699</v>
      </c>
      <c r="K28" s="67">
        <f>IF(5=0,$K$6,$K$6*(1+$K$8-$K$9)^5+$K$7*((1+$K$8-$K$9)^5-1)/($K$8-$K$9))</f>
        <v>225690.12714544981</v>
      </c>
      <c r="L28" s="67">
        <f>IF(5=0,$L$6,$L$6*(1+$L$8-$L$9)^5+$L$7*((1+$L$8-$L$9)^5-1)/($L$8-$L$9))</f>
        <v>235788.96681475552</v>
      </c>
      <c r="N28" s="7" t="s">
        <v>239</v>
      </c>
      <c r="O28" s="7"/>
      <c r="P28" s="7"/>
      <c r="Q28" s="7"/>
      <c r="R28" s="68" t="s">
        <v>240</v>
      </c>
      <c r="S28" s="3" t="s">
        <v>241</v>
      </c>
      <c r="T28" s="3"/>
      <c r="U28" s="3"/>
    </row>
    <row r="29" spans="1:26" ht="21.75" customHeight="1" x14ac:dyDescent="0.35">
      <c r="B29" s="69" t="s">
        <v>242</v>
      </c>
      <c r="C29" s="30" t="s">
        <v>243</v>
      </c>
      <c r="D29" s="31" t="s">
        <v>244</v>
      </c>
      <c r="E29" s="32" t="s">
        <v>245</v>
      </c>
      <c r="F29" s="31" t="s">
        <v>111</v>
      </c>
      <c r="G29" s="31" t="s">
        <v>244</v>
      </c>
      <c r="I29" s="67">
        <v>6</v>
      </c>
      <c r="J29" s="67">
        <f>IF(6=0,$J$6,$J$6*(1+$J$8-$J$9)^6+$J$7*((1+$J$8-$J$9)^6-1)/($J$8-$J$9))</f>
        <v>234001.86550893966</v>
      </c>
      <c r="K29" s="67">
        <f>IF(6=0,$K$6,$K$6*(1+$K$8-$K$9)^6+$K$7*((1+$K$8-$K$9)^6-1)/($K$8-$K$9))</f>
        <v>256262.7459184858</v>
      </c>
      <c r="L29" s="67">
        <f>IF(6=0,$L$6,$L$6*(1+$L$8-$L$9)^6+$L$7*((1+$L$8-$L$9)^6-1)/($L$8-$L$9))</f>
        <v>269887.87312675081</v>
      </c>
      <c r="N29" s="15" t="s">
        <v>246</v>
      </c>
      <c r="O29" s="15" t="s">
        <v>247</v>
      </c>
      <c r="P29" s="15" t="s">
        <v>248</v>
      </c>
      <c r="Q29" s="15" t="s">
        <v>249</v>
      </c>
      <c r="R29" s="68" t="s">
        <v>250</v>
      </c>
      <c r="S29" s="3" t="s">
        <v>251</v>
      </c>
      <c r="T29" s="3"/>
      <c r="U29" s="3"/>
    </row>
    <row r="30" spans="1:26" ht="21.75" customHeight="1" x14ac:dyDescent="0.35">
      <c r="B30" s="23" t="s">
        <v>252</v>
      </c>
      <c r="C30" s="24"/>
      <c r="D30" s="24"/>
      <c r="E30" s="24"/>
      <c r="F30" s="24"/>
      <c r="G30" s="24"/>
      <c r="I30" s="67">
        <v>7</v>
      </c>
      <c r="J30" s="67">
        <f>IF(7=0,$J$6,$J$6*(1+$J$8-$J$9)^7+$J$7*((1+$J$8-$J$9)^7-1)/($J$8-$J$9))</f>
        <v>260233.9550533687</v>
      </c>
      <c r="K30" s="67">
        <f>IF(7=0,$K$6,$K$6*(1+$K$8-$K$9)^7+$K$7*((1+$K$8-$K$9)^7-1)/($K$8-$K$9))</f>
        <v>288944.87538686139</v>
      </c>
      <c r="L30" s="67">
        <f>IF(7=0,$L$6,$L$6*(1+$L$8-$L$9)^7+$L$7*((1+$L$8-$L$9)^7-1)/($L$8-$L$9))</f>
        <v>306748.79085001757</v>
      </c>
      <c r="N30" s="70" t="s">
        <v>253</v>
      </c>
      <c r="O30" s="71"/>
      <c r="P30" s="71"/>
      <c r="Q30" s="71"/>
      <c r="R30" s="68" t="s">
        <v>254</v>
      </c>
      <c r="S30" s="3" t="s">
        <v>255</v>
      </c>
      <c r="T30" s="3"/>
      <c r="U30" s="3"/>
    </row>
    <row r="31" spans="1:26" ht="21.75" customHeight="1" x14ac:dyDescent="0.35">
      <c r="B31" s="29" t="s">
        <v>256</v>
      </c>
      <c r="C31" s="30" t="s">
        <v>257</v>
      </c>
      <c r="D31" s="31" t="s">
        <v>257</v>
      </c>
      <c r="E31" s="32" t="s">
        <v>257</v>
      </c>
      <c r="F31" s="31" t="s">
        <v>257</v>
      </c>
      <c r="G31" s="31" t="s">
        <v>258</v>
      </c>
      <c r="I31" s="67">
        <v>8</v>
      </c>
      <c r="J31" s="67">
        <f>IF(8=0,$J$6,$J$6*(1+$J$8-$J$9)^8+$J$7*((1+$J$8-$J$9)^8-1)/($J$8-$J$9))</f>
        <v>287725.18489593058</v>
      </c>
      <c r="K31" s="67">
        <f>IF(8=0,$K$6,$K$6*(1+$K$8-$K$9)^8+$K$7*((1+$K$8-$K$9)^8-1)/($K$8-$K$9))</f>
        <v>323882.07178855472</v>
      </c>
      <c r="L31" s="67">
        <f>IF(8=0,$L$6,$L$6*(1+$L$8-$L$9)^8+$L$7*((1+$L$8-$L$9)^8-1)/($L$8-$L$9))</f>
        <v>346595.44290886924</v>
      </c>
      <c r="N31" s="29" t="s">
        <v>259</v>
      </c>
      <c r="O31" s="72" t="s">
        <v>260</v>
      </c>
      <c r="P31" s="72" t="s">
        <v>261</v>
      </c>
      <c r="Q31" s="72" t="s">
        <v>262</v>
      </c>
      <c r="R31" s="68" t="s">
        <v>263</v>
      </c>
      <c r="S31" s="3" t="s">
        <v>264</v>
      </c>
      <c r="T31" s="3"/>
      <c r="U31" s="3"/>
    </row>
    <row r="32" spans="1:26" ht="21.75" customHeight="1" x14ac:dyDescent="0.35">
      <c r="B32" s="29" t="s">
        <v>265</v>
      </c>
      <c r="C32" s="30" t="s">
        <v>257</v>
      </c>
      <c r="D32" s="31" t="s">
        <v>257</v>
      </c>
      <c r="E32" s="32" t="s">
        <v>257</v>
      </c>
      <c r="F32" s="31" t="s">
        <v>257</v>
      </c>
      <c r="G32" s="31" t="s">
        <v>266</v>
      </c>
      <c r="I32" s="67">
        <v>9</v>
      </c>
      <c r="J32" s="67">
        <f>IF(9=0,$J$6,$J$6*(1+$J$8-$J$9)^9+$J$7*((1+$J$8-$J$9)^9-1)/($J$8-$J$9))</f>
        <v>316535.99377093522</v>
      </c>
      <c r="K32" s="67">
        <f>IF(9=0,$K$6,$K$6*(1+$K$8-$K$9)^9+$K$7*((1+$K$8-$K$9)^9-1)/($K$8-$K$9))</f>
        <v>361229.93474196503</v>
      </c>
      <c r="L32" s="67">
        <f>IF(9=0,$L$6,$L$6*(1+$L$8-$L$9)^9+$L$7*((1+$L$8-$L$9)^9-1)/($L$8-$L$9))</f>
        <v>389669.67378448776</v>
      </c>
      <c r="N32" s="29" t="s">
        <v>267</v>
      </c>
      <c r="O32" s="72" t="s">
        <v>268</v>
      </c>
      <c r="P32" s="72" t="s">
        <v>269</v>
      </c>
      <c r="Q32" s="72" t="s">
        <v>270</v>
      </c>
    </row>
    <row r="33" spans="2:17" ht="21.75" customHeight="1" x14ac:dyDescent="0.35">
      <c r="B33" s="69" t="s">
        <v>271</v>
      </c>
      <c r="C33" s="30" t="s">
        <v>272</v>
      </c>
      <c r="D33" s="31" t="s">
        <v>272</v>
      </c>
      <c r="E33" s="32" t="s">
        <v>272</v>
      </c>
      <c r="F33" s="31" t="s">
        <v>272</v>
      </c>
      <c r="G33" s="31" t="s">
        <v>272</v>
      </c>
      <c r="I33" s="67">
        <v>10</v>
      </c>
      <c r="J33" s="67">
        <f>IF(10=0,$J$6,$J$6*(1+$J$8-$J$9)^10+$J$7*((1+$J$8-$J$9)^10-1)/($J$8-$J$9))</f>
        <v>346729.72147194023</v>
      </c>
      <c r="K33" s="67">
        <f>IF(10=0,$K$6,$K$6*(1+$K$8-$K$9)^10+$K$7*((1+$K$8-$K$9)^10-1)/($K$8-$K$9))</f>
        <v>401154.80023916054</v>
      </c>
      <c r="L33" s="67">
        <f>IF(10=0,$L$6,$L$6*(1+$L$8-$L$9)^10+$L$7*((1+$L$8-$L$9)^10-1)/($L$8-$L$9))</f>
        <v>436232.91736103129</v>
      </c>
      <c r="N33" s="29" t="s">
        <v>273</v>
      </c>
      <c r="O33" s="72" t="s">
        <v>274</v>
      </c>
      <c r="P33" s="72" t="s">
        <v>275</v>
      </c>
      <c r="Q33" s="72" t="s">
        <v>276</v>
      </c>
    </row>
    <row r="34" spans="2:17" ht="21.75" customHeight="1" x14ac:dyDescent="0.35">
      <c r="I34" s="67">
        <v>11</v>
      </c>
      <c r="J34" s="67">
        <f>IF(11=0,$J$6,$J$6*(1+$J$8-$J$9)^11+$J$7*((1+$J$8-$J$9)^11-1)/($J$8-$J$9))</f>
        <v>378372.74810259329</v>
      </c>
      <c r="K34" s="67">
        <f>IF(11=0,$K$6,$K$6*(1+$K$8-$K$9)^11+$K$7*((1+$K$8-$K$9)^11-1)/($K$8-$K$9))</f>
        <v>443834.48145566264</v>
      </c>
      <c r="L34" s="67">
        <f>IF(11=0,$L$6,$L$6*(1+$L$8-$L$9)^11+$L$7*((1+$L$8-$L$9)^11-1)/($L$8-$L$9))</f>
        <v>486567.78366727498</v>
      </c>
      <c r="N34" s="29" t="s">
        <v>277</v>
      </c>
      <c r="O34" s="72" t="s">
        <v>278</v>
      </c>
      <c r="P34" s="72" t="s">
        <v>279</v>
      </c>
      <c r="Q34" s="72" t="s">
        <v>280</v>
      </c>
    </row>
    <row r="35" spans="2:17" ht="21.75" customHeight="1" x14ac:dyDescent="0.35">
      <c r="I35" s="67">
        <v>12</v>
      </c>
      <c r="J35" s="67">
        <f>IF(12=0,$J$6,$J$6*(1+$J$8-$J$9)^12+$J$7*((1+$J$8-$J$9)^12-1)/($J$8-$J$9))</f>
        <v>411534.64001151797</v>
      </c>
      <c r="K35" s="67">
        <f>IF(12=0,$K$6,$K$6*(1+$K$8-$K$9)^12+$K$7*((1+$K$8-$K$9)^12-1)/($K$8-$K$9))</f>
        <v>489459.06067610328</v>
      </c>
      <c r="L35" s="67">
        <f>IF(12=0,$L$6,$L$6*(1+$L$8-$L$9)^12+$L$7*((1+$L$8-$L$9)^12-1)/($L$8-$L$9))</f>
        <v>540979.77414432436</v>
      </c>
      <c r="N35" s="70" t="s">
        <v>281</v>
      </c>
      <c r="O35" s="71"/>
      <c r="P35" s="71"/>
      <c r="Q35" s="71"/>
    </row>
    <row r="36" spans="2:17" ht="21.75" customHeight="1" x14ac:dyDescent="0.35">
      <c r="I36" s="67">
        <v>13</v>
      </c>
      <c r="J36" s="67">
        <f>IF(13=0,$J$6,$J$6*(1+$J$8-$J$9)^13+$J$7*((1+$J$8-$J$9)^13-1)/($J$8-$J$9))</f>
        <v>446288.30273207079</v>
      </c>
      <c r="K36" s="67">
        <f>IF(13=0,$K$6,$K$6*(1+$K$8-$K$9)^13+$K$7*((1+$K$8-$K$9)^13-1)/($K$8-$K$9))</f>
        <v>538231.73586275429</v>
      </c>
      <c r="L36" s="67">
        <f>IF(13=0,$L$6,$L$6*(1+$L$8-$L$9)^13+$L$7*((1+$L$8-$L$9)^13-1)/($L$8-$L$9))</f>
        <v>599799.13585001486</v>
      </c>
      <c r="N36" s="69" t="s">
        <v>282</v>
      </c>
      <c r="O36" s="73" t="s">
        <v>283</v>
      </c>
      <c r="P36" s="73" t="s">
        <v>125</v>
      </c>
      <c r="Q36" s="73" t="s">
        <v>284</v>
      </c>
    </row>
    <row r="37" spans="2:17" ht="21.75" customHeight="1" x14ac:dyDescent="0.35">
      <c r="I37" s="67">
        <v>14</v>
      </c>
      <c r="J37" s="67">
        <f>IF(14=0,$J$6,$J$6*(1+$J$8-$J$9)^14+$J$7*((1+$J$8-$J$9)^14-1)/($J$8-$J$9))</f>
        <v>482710.14126321039</v>
      </c>
      <c r="K37" s="67">
        <f>IF(14=0,$K$6,$K$6*(1+$K$8-$K$9)^14+$K$7*((1+$K$8-$K$9)^14-1)/($K$8-$K$9))</f>
        <v>590369.72563728422</v>
      </c>
      <c r="L37" s="67">
        <f>IF(14=0,$L$6,$L$6*(1+$L$8-$L$9)^14+$L$7*((1+$L$8-$L$9)^14-1)/($L$8-$L$9))</f>
        <v>663382.86585386633</v>
      </c>
      <c r="N37" s="69" t="s">
        <v>285</v>
      </c>
      <c r="O37" s="73" t="s">
        <v>286</v>
      </c>
      <c r="P37" s="73" t="s">
        <v>125</v>
      </c>
      <c r="Q37" s="73" t="s">
        <v>287</v>
      </c>
    </row>
    <row r="38" spans="2:17" ht="21.75" customHeight="1" x14ac:dyDescent="0.35">
      <c r="I38" s="67">
        <v>15</v>
      </c>
      <c r="J38" s="67">
        <f>IF(15=0,$J$6,$J$6*(1+$J$8-$J$9)^15+$J$7*((1+$J$8-$J$9)^15-1)/($J$8-$J$9))</f>
        <v>520880.2280438444</v>
      </c>
      <c r="K38" s="67">
        <f>IF(15=0,$K$6,$K$6*(1+$K$8-$K$9)^15+$K$7*((1+$K$8-$K$9)^15-1)/($K$8-$K$9))</f>
        <v>646105.23670625698</v>
      </c>
      <c r="L38" s="67">
        <f>IF(15=0,$L$6,$L$6*(1+$L$8-$L$9)^15+$L$7*((1+$L$8-$L$9)^15-1)/($L$8-$L$9))</f>
        <v>732116.87798802927</v>
      </c>
      <c r="N38" s="69" t="s">
        <v>288</v>
      </c>
      <c r="O38" s="73" t="s">
        <v>289</v>
      </c>
      <c r="P38" s="73" t="s">
        <v>125</v>
      </c>
      <c r="Q38" s="73" t="s">
        <v>290</v>
      </c>
    </row>
    <row r="39" spans="2:17" ht="21.75" customHeight="1" x14ac:dyDescent="0.35">
      <c r="I39" s="67">
        <v>16</v>
      </c>
      <c r="J39" s="67">
        <f>IF(16=0,$J$6,$J$6*(1+$J$8-$J$9)^16+$J$7*((1+$J$8-$J$9)^16-1)/($J$8-$J$9))</f>
        <v>560882.47898994922</v>
      </c>
      <c r="K39" s="67">
        <f>IF(16=0,$K$6,$K$6*(1+$K$8-$K$9)^16+$K$7*((1+$K$8-$K$9)^16-1)/($K$8-$K$9))</f>
        <v>705686.49803898856</v>
      </c>
      <c r="L39" s="67">
        <f>IF(16=0,$L$6,$L$6*(1+$L$8-$L$9)^16+$L$7*((1+$L$8-$L$9)^16-1)/($L$8-$L$9))</f>
        <v>806418.34510506014</v>
      </c>
      <c r="N39" s="70" t="s">
        <v>291</v>
      </c>
      <c r="O39" s="71"/>
      <c r="P39" s="71"/>
      <c r="Q39" s="71"/>
    </row>
    <row r="40" spans="2:17" ht="21.75" customHeight="1" x14ac:dyDescent="0.35">
      <c r="I40" s="67">
        <v>17</v>
      </c>
      <c r="J40" s="67">
        <f>IF(17=0,$J$6,$J$6*(1+$J$8-$J$9)^17+$J$7*((1+$J$8-$J$9)^17-1)/($J$8-$J$9))</f>
        <v>602804.8379814669</v>
      </c>
      <c r="K40" s="67">
        <f>IF(17=0,$K$6,$K$6*(1+$K$8-$K$9)^17+$K$7*((1+$K$8-$K$9)^17-1)/($K$8-$K$9))</f>
        <v>769378.86640367878</v>
      </c>
      <c r="L40" s="67">
        <f>IF(17=0,$L$6,$L$6*(1+$L$8-$L$9)^17+$L$7*((1+$L$8-$L$9)^17-1)/($L$8-$L$9))</f>
        <v>886738.23105857021</v>
      </c>
      <c r="N40" s="29" t="s">
        <v>292</v>
      </c>
      <c r="O40" s="72" t="s">
        <v>293</v>
      </c>
      <c r="P40" s="72" t="s">
        <v>125</v>
      </c>
      <c r="Q40" s="72" t="s">
        <v>294</v>
      </c>
    </row>
    <row r="41" spans="2:17" ht="21.75" customHeight="1" x14ac:dyDescent="0.35">
      <c r="I41" s="67">
        <v>18</v>
      </c>
      <c r="J41" s="67">
        <f>IF(18=0,$J$6,$J$6*(1+$J$8-$J$9)^18+$J$7*((1+$J$8-$J$9)^18-1)/($J$8-$J$9))</f>
        <v>646739.47020457743</v>
      </c>
      <c r="K41" s="67">
        <f>IF(18=0,$K$6,$K$6*(1+$K$8-$K$9)^18+$K$7*((1+$K$8-$K$9)^18-1)/($K$8-$K$9))</f>
        <v>837466.00818553264</v>
      </c>
      <c r="L41" s="67">
        <f>IF(18=0,$L$6,$L$6*(1+$L$8-$L$9)^18+$L$7*((1+$L$8-$L$9)^18-1)/($L$8-$L$9))</f>
        <v>973564.02777431451</v>
      </c>
      <c r="N41" s="29" t="s">
        <v>295</v>
      </c>
      <c r="O41" s="72" t="s">
        <v>296</v>
      </c>
      <c r="P41" s="72" t="s">
        <v>125</v>
      </c>
      <c r="Q41" s="72" t="s">
        <v>125</v>
      </c>
    </row>
    <row r="42" spans="2:17" ht="21.75" customHeight="1" x14ac:dyDescent="0.35">
      <c r="I42" s="67">
        <v>19</v>
      </c>
      <c r="J42" s="67">
        <f>IF(19=0,$J$6,$J$6*(1+$J$8-$J$9)^19+$J$7*((1+$J$8-$J$9)^19-1)/($J$8-$J$9))</f>
        <v>692782.96477439697</v>
      </c>
      <c r="K42" s="67">
        <f>IF(19=0,$K$6,$K$6*(1+$K$8-$K$9)^19+$K$7*((1+$K$8-$K$9)^19-1)/($K$8-$K$9))</f>
        <v>910251.16275033436</v>
      </c>
      <c r="L42" s="67">
        <f>IF(19=0,$L$6,$L$6*(1+$L$8-$L$9)^19+$L$7*((1+$L$8-$L$9)^19-1)/($L$8-$L$9))</f>
        <v>1067422.7140240341</v>
      </c>
      <c r="N42" s="29" t="s">
        <v>297</v>
      </c>
      <c r="O42" s="72" t="s">
        <v>298</v>
      </c>
      <c r="P42" s="72" t="s">
        <v>125</v>
      </c>
      <c r="Q42" s="72" t="s">
        <v>299</v>
      </c>
    </row>
    <row r="43" spans="2:17" ht="15" customHeight="1" x14ac:dyDescent="0.35">
      <c r="I43" s="67">
        <v>20</v>
      </c>
      <c r="J43" s="67">
        <f>IF(20=0,$J$6,$J$6*(1+$J$8-$J$9)^20+$J$7*((1+$J$8-$J$9)^20-1)/($J$8-$J$9))</f>
        <v>741036.54708356841</v>
      </c>
      <c r="K43" s="67">
        <f>IF(20=0,$K$6,$K$6*(1+$K$8-$K$9)^20+$K$7*((1+$K$8-$K$9)^20-1)/($K$8-$K$9))</f>
        <v>988058.4929801072</v>
      </c>
      <c r="L43" s="67">
        <f>IF(20=0,$L$6,$L$6*(1+$L$8-$L$9)^20+$L$7*((1+$L$8-$L$9)^20-1)/($L$8-$L$9))</f>
        <v>1168883.9538599814</v>
      </c>
    </row>
    <row r="44" spans="2:17" ht="15" customHeight="1" x14ac:dyDescent="0.35">
      <c r="I44" s="67">
        <v>21</v>
      </c>
      <c r="J44" s="67">
        <f>IF(21=0,$J$6,$J$6*(1+$J$8-$J$9)^21+$J$7*((1+$J$8-$J$9)^21-1)/($J$8-$J$9))</f>
        <v>791606.30134357978</v>
      </c>
      <c r="K44" s="67">
        <f>IF(21=0,$K$6,$K$6*(1+$K$8-$K$9)^21+$K$7*((1+$K$8-$K$9)^21-1)/($K$8-$K$9))</f>
        <v>1071234.5289957346</v>
      </c>
      <c r="L44" s="67">
        <f>IF(21=0,$L$6,$L$6*(1+$L$8-$L$9)^21+$L$7*((1+$L$8-$L$9)^21-1)/($L$8-$L$9))</f>
        <v>1278563.5541226401</v>
      </c>
    </row>
    <row r="45" spans="2:17" ht="15" customHeight="1" x14ac:dyDescent="0.35">
      <c r="I45" s="67">
        <v>22</v>
      </c>
      <c r="J45" s="67">
        <f>IF(22=0,$J$6,$J$6*(1+$J$8-$J$9)^22+$J$7*((1+$J$8-$J$9)^22-1)/($J$8-$J$9))</f>
        <v>844603.40380807174</v>
      </c>
      <c r="K45" s="67">
        <f>IF(22=0,$K$6,$K$6*(1+$K$8-$K$9)^22+$K$7*((1+$K$8-$K$9)^22-1)/($K$8-$K$9))</f>
        <v>1160149.7114964402</v>
      </c>
      <c r="L45" s="67">
        <f>IF(22=0,$L$6,$L$6*(1+$L$8-$L$9)^22+$L$7*((1+$L$8-$L$9)^22-1)/($L$8-$L$9))</f>
        <v>1397127.2020065743</v>
      </c>
    </row>
    <row r="46" spans="2:17" ht="15" customHeight="1" x14ac:dyDescent="0.35">
      <c r="I46" s="67">
        <v>23</v>
      </c>
      <c r="J46" s="67">
        <f>IF(23=0,$J$6,$J$6*(1+$J$8-$J$9)^23+$J$7*((1+$J$8-$J$9)^23-1)/($J$8-$J$9))</f>
        <v>900144.36719085905</v>
      </c>
      <c r="K46" s="67">
        <f>IF(23=0,$K$6,$K$6*(1+$K$8-$K$9)^23+$K$7*((1+$K$8-$K$9)^23-1)/($K$8-$K$9))</f>
        <v>1255200.0415896946</v>
      </c>
      <c r="L46" s="67">
        <f>IF(23=0,$L$6,$L$6*(1+$L$8-$L$9)^23+$L$7*((1+$L$8-$L$9)^23-1)/($L$8-$L$9))</f>
        <v>1525294.5053691068</v>
      </c>
    </row>
    <row r="47" spans="2:17" ht="15" customHeight="1" x14ac:dyDescent="0.35">
      <c r="I47" s="67">
        <v>24</v>
      </c>
      <c r="J47" s="67">
        <f>IF(24=0,$J$6,$J$6*(1+$J$8-$J$9)^24+$J$7*((1+$J$8-$J$9)^24-1)/($J$8-$J$9))</f>
        <v>958351.29681602051</v>
      </c>
      <c r="K47" s="67">
        <f>IF(24=0,$K$6,$K$6*(1+$K$8-$K$9)^24+$K$7*((1+$K$8-$K$9)^24-1)/($K$8-$K$9))</f>
        <v>1356808.8444593833</v>
      </c>
      <c r="L47" s="67">
        <f>IF(24=0,$L$6,$L$6*(1+$L$8-$L$9)^24+$L$7*((1+$L$8-$L$9)^24-1)/($L$8-$L$9))</f>
        <v>1663843.360304005</v>
      </c>
    </row>
    <row r="48" spans="2:17" ht="15" customHeight="1" x14ac:dyDescent="0.35">
      <c r="I48" s="67">
        <v>25</v>
      </c>
      <c r="J48" s="67">
        <f>IF(25=0,$J$6,$J$6*(1+$J$8-$J$9)^25+$J$7*((1+$J$8-$J$9)^25-1)/($J$8-$J$9))</f>
        <v>1019352.1590631895</v>
      </c>
      <c r="K48" s="67">
        <f>IF(25=0,$K$6,$K$6*(1+$K$8-$K$9)^25+$K$7*((1+$K$8-$K$9)^25-1)/($K$8-$K$9))</f>
        <v>1465428.6547270808</v>
      </c>
      <c r="L48" s="67">
        <f>IF(25=0,$L$6,$L$6*(1+$L$8-$L$9)^25+$L$7*((1+$L$8-$L$9)^25-1)/($L$8-$L$9))</f>
        <v>1813614.6724886298</v>
      </c>
    </row>
    <row r="49" spans="1:26" ht="15" customHeight="1" x14ac:dyDescent="0.35">
      <c r="I49" s="67">
        <v>26</v>
      </c>
      <c r="J49" s="67">
        <f>IF(26=0,$J$6,$J$6*(1+$J$8-$J$9)^26+$J$7*((1+$J$8-$J$9)^26-1)/($J$8-$J$9))</f>
        <v>1083281.0626982227</v>
      </c>
      <c r="K49" s="67">
        <f>IF(26=0,$K$6,$K$6*(1+$K$8-$K$9)^26+$K$7*((1+$K$8-$K$9)^26-1)/($K$8-$K$9))</f>
        <v>1581543.2319032489</v>
      </c>
      <c r="L49" s="67">
        <f>IF(26=0,$L$6,$L$6*(1+$L$8-$L$9)^26+$L$7*((1+$L$8-$L$9)^26-1)/($L$8-$L$9))</f>
        <v>1975517.4609602094</v>
      </c>
    </row>
    <row r="50" spans="1:26" ht="15" customHeight="1" x14ac:dyDescent="0.35">
      <c r="I50" s="67">
        <v>27</v>
      </c>
      <c r="J50" s="67">
        <f>IF(27=0,$J$6,$J$6*(1+$J$8-$J$9)^27+$J$7*((1+$J$8-$J$9)^27-1)/($J$8-$J$9))</f>
        <v>1150278.5537077375</v>
      </c>
      <c r="K50" s="67">
        <f>IF(27=0,$K$6,$K$6*(1+$K$8-$K$9)^27+$K$7*((1+$K$8-$K$9)^27-1)/($K$8-$K$9))</f>
        <v>1705669.7149045735</v>
      </c>
      <c r="L50" s="67">
        <f>IF(27=0,$L$6,$L$6*(1+$L$8-$L$9)^27+$L$7*((1+$L$8-$L$9)^27-1)/($L$8-$L$9))</f>
        <v>2150534.3752979869</v>
      </c>
    </row>
    <row r="51" spans="1:26" ht="15" customHeight="1" x14ac:dyDescent="0.35">
      <c r="I51" s="67">
        <v>28</v>
      </c>
      <c r="J51" s="67">
        <f>IF(28=0,$J$6,$J$6*(1+$J$8-$J$9)^28+$J$7*((1+$J$8-$J$9)^28-1)/($J$8-$J$9))</f>
        <v>1220491.9242857094</v>
      </c>
      <c r="K51" s="67">
        <f>IF(28=0,$K$6,$K$6*(1+$K$8-$K$9)^28+$K$7*((1+$K$8-$K$9)^28-1)/($K$8-$K$9))</f>
        <v>1838360.9252329888</v>
      </c>
      <c r="L51" s="67">
        <f>IF(28=0,$L$6,$L$6*(1+$L$8-$L$9)^28+$L$7*((1+$L$8-$L$9)^28-1)/($L$8-$L$9))</f>
        <v>2339727.6596971238</v>
      </c>
    </row>
    <row r="52" spans="1:26" ht="15" customHeight="1" x14ac:dyDescent="0.35">
      <c r="I52" s="67">
        <v>29</v>
      </c>
      <c r="J52" s="67">
        <f>IF(29=0,$J$6,$J$6*(1+$J$8-$J$9)^29+$J$7*((1+$J$8-$J$9)^29-1)/($J$8-$J$9))</f>
        <v>1294075.5366514232</v>
      </c>
      <c r="K52" s="67">
        <f>IF(29=0,$K$6,$K$6*(1+$K$8-$K$9)^29+$K$7*((1+$K$8-$K$9)^29-1)/($K$8-$K$9))</f>
        <v>1980207.8290740645</v>
      </c>
      <c r="L52" s="67">
        <f>IF(29=0,$L$6,$L$6*(1+$L$8-$L$9)^29+$L$7*((1+$L$8-$L$9)^29-1)/($L$8-$L$9))</f>
        <v>2544245.6001325916</v>
      </c>
    </row>
    <row r="53" spans="1:26" ht="15" customHeight="1" x14ac:dyDescent="0.35">
      <c r="I53" s="67">
        <v>30</v>
      </c>
      <c r="J53" s="67">
        <f>IF(30=0,$J$6,$J$6*(1+$J$8-$J$9)^30+$J$7*((1+$J$8-$J$9)^30-1)/($J$8-$J$9))</f>
        <v>1371191.1624106918</v>
      </c>
      <c r="K53" s="67">
        <f>IF(30=0,$K$6,$K$6*(1+$K$8-$K$9)^30+$K$7*((1+$K$8-$K$9)^30-1)/($K$8-$K$9))</f>
        <v>2131842.1692801751</v>
      </c>
      <c r="L53" s="67">
        <f>IF(30=0,$L$6,$L$6*(1+$L$8-$L$9)^30+$L$7*((1+$L$8-$L$9)^30-1)/($L$8-$L$9))</f>
        <v>2765329.4937433326</v>
      </c>
    </row>
    <row r="54" spans="1:26" ht="4.5" customHeight="1"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9.5" customHeight="1" x14ac:dyDescent="0.35">
      <c r="I55" s="12" t="s">
        <v>300</v>
      </c>
      <c r="J55" s="12"/>
      <c r="K55" s="12"/>
      <c r="L55" s="12"/>
      <c r="M55" s="12"/>
    </row>
    <row r="77" spans="1:26" ht="36" customHeight="1" x14ac:dyDescent="0.35">
      <c r="A77" s="2" t="s">
        <v>301</v>
      </c>
      <c r="B77" s="2"/>
      <c r="C77" s="2"/>
      <c r="D77" s="2"/>
      <c r="E77" s="2"/>
      <c r="F77" s="2"/>
      <c r="G77" s="2"/>
      <c r="H77" s="2"/>
      <c r="I77" s="2"/>
      <c r="J77" s="2"/>
      <c r="K77" s="2"/>
      <c r="L77" s="2"/>
      <c r="M77" s="2"/>
      <c r="N77" s="2"/>
      <c r="O77" s="2"/>
      <c r="P77" s="2"/>
      <c r="Q77" s="2"/>
      <c r="R77" s="2"/>
      <c r="S77" s="2"/>
      <c r="T77" s="2"/>
      <c r="U77" s="2"/>
      <c r="V77" s="2"/>
      <c r="W77" s="2"/>
      <c r="X77" s="2"/>
      <c r="Y77" s="2"/>
      <c r="Z77" s="2"/>
    </row>
  </sheetData>
  <mergeCells count="23">
    <mergeCell ref="S29:U29"/>
    <mergeCell ref="S30:U30"/>
    <mergeCell ref="S31:U31"/>
    <mergeCell ref="I55:M55"/>
    <mergeCell ref="A77:Z77"/>
    <mergeCell ref="R24:Y24"/>
    <mergeCell ref="S25:U25"/>
    <mergeCell ref="S26:U26"/>
    <mergeCell ref="S27:U27"/>
    <mergeCell ref="N28:Q28"/>
    <mergeCell ref="S28:U28"/>
    <mergeCell ref="R6:U6"/>
    <mergeCell ref="V12:Y12"/>
    <mergeCell ref="I13:L13"/>
    <mergeCell ref="R15:U15"/>
    <mergeCell ref="I22:L22"/>
    <mergeCell ref="A1:Z1"/>
    <mergeCell ref="A2:Z2"/>
    <mergeCell ref="A4:G4"/>
    <mergeCell ref="I4:M4"/>
    <mergeCell ref="N4:Q4"/>
    <mergeCell ref="R4:U4"/>
    <mergeCell ref="V4:Y4"/>
  </mergeCells>
  <pageMargins left="0.75" right="0.75" top="1" bottom="1" header="0.511811023622047" footer="0.511811023622047"/>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A8C6B"/>
  </sheetPr>
  <dimension ref="A1:T88"/>
  <sheetViews>
    <sheetView showGridLines="0" topLeftCell="A50" zoomScaleNormal="100" workbookViewId="0">
      <pane xSplit="2" topLeftCell="C1" activePane="topRight" state="frozen"/>
      <selection activeCell="A50" sqref="A50"/>
      <selection pane="topRight" sqref="A1:T1"/>
    </sheetView>
  </sheetViews>
  <sheetFormatPr defaultColWidth="8.6328125" defaultRowHeight="14.5" x14ac:dyDescent="0.35"/>
  <cols>
    <col min="1" max="1" width="6" customWidth="1"/>
    <col min="2" max="2" width="10" customWidth="1"/>
    <col min="3" max="7" width="13" customWidth="1"/>
    <col min="8" max="8" width="2" customWidth="1"/>
    <col min="9" max="12" width="13" customWidth="1"/>
    <col min="13" max="13" width="2" customWidth="1"/>
    <col min="14" max="17" width="13" customWidth="1"/>
    <col min="18" max="18" width="2" customWidth="1"/>
    <col min="19" max="19" width="14" customWidth="1"/>
    <col min="20" max="20" width="2" customWidth="1"/>
  </cols>
  <sheetData>
    <row r="1" spans="1:20" ht="39.75" customHeight="1" x14ac:dyDescent="0.35">
      <c r="A1" s="9" t="s">
        <v>302</v>
      </c>
      <c r="B1" s="9"/>
      <c r="C1" s="9"/>
      <c r="D1" s="9"/>
      <c r="E1" s="9"/>
      <c r="F1" s="9"/>
      <c r="G1" s="9"/>
      <c r="H1" s="9"/>
      <c r="I1" s="9"/>
      <c r="J1" s="9"/>
      <c r="K1" s="9"/>
      <c r="L1" s="9"/>
      <c r="M1" s="9"/>
      <c r="N1" s="9"/>
      <c r="O1" s="9"/>
      <c r="P1" s="9"/>
      <c r="Q1" s="9"/>
      <c r="R1" s="9"/>
      <c r="S1" s="9"/>
      <c r="T1" s="9"/>
    </row>
    <row r="2" spans="1:20" ht="18" customHeight="1" x14ac:dyDescent="0.35">
      <c r="A2" s="8" t="s">
        <v>303</v>
      </c>
      <c r="B2" s="8"/>
      <c r="C2" s="8"/>
      <c r="D2" s="8"/>
      <c r="E2" s="8"/>
      <c r="F2" s="8"/>
      <c r="G2" s="8"/>
      <c r="H2" s="8"/>
      <c r="I2" s="8"/>
      <c r="J2" s="8"/>
      <c r="K2" s="8"/>
      <c r="L2" s="8"/>
      <c r="M2" s="8"/>
      <c r="N2" s="8"/>
      <c r="O2" s="8"/>
      <c r="P2" s="8"/>
      <c r="Q2" s="8"/>
      <c r="R2" s="8"/>
      <c r="S2" s="8"/>
      <c r="T2" s="8"/>
    </row>
    <row r="3" spans="1:20" ht="7.5" customHeight="1" x14ac:dyDescent="0.35"/>
    <row r="4" spans="1:20" ht="19.5" customHeight="1" x14ac:dyDescent="0.35">
      <c r="A4" s="7" t="s">
        <v>304</v>
      </c>
      <c r="B4" s="7"/>
      <c r="C4" s="7"/>
      <c r="D4" s="7"/>
      <c r="E4" s="7"/>
      <c r="F4" s="7"/>
      <c r="G4" s="7"/>
      <c r="I4" s="7" t="s">
        <v>305</v>
      </c>
      <c r="J4" s="7"/>
      <c r="K4" s="7"/>
      <c r="L4" s="7"/>
      <c r="M4" s="7"/>
      <c r="N4" s="7"/>
      <c r="O4" s="7"/>
      <c r="P4" s="7"/>
      <c r="Q4" s="7"/>
      <c r="R4" s="7"/>
      <c r="S4" s="7"/>
    </row>
    <row r="5" spans="1:20" ht="15.75" customHeight="1" x14ac:dyDescent="0.35">
      <c r="A5" s="75" t="s">
        <v>306</v>
      </c>
      <c r="B5" s="26">
        <v>400000</v>
      </c>
      <c r="C5" s="1" t="s">
        <v>307</v>
      </c>
      <c r="D5" s="1"/>
      <c r="E5" s="1"/>
      <c r="F5" s="1"/>
      <c r="G5" s="1"/>
      <c r="I5" s="305" t="s">
        <v>308</v>
      </c>
      <c r="J5" s="305"/>
      <c r="K5" s="305"/>
      <c r="L5" s="305"/>
      <c r="M5" s="305"/>
      <c r="N5" s="305"/>
      <c r="O5" s="305"/>
      <c r="P5" s="306" t="str">
        <f>IFERROR(INDEX(B25:B60,MATCH(0,G25:G60,0)),"Still going at 100")</f>
        <v>Still going at 100</v>
      </c>
      <c r="Q5" s="306"/>
      <c r="R5" s="306"/>
      <c r="S5" s="306"/>
    </row>
    <row r="6" spans="1:20" ht="15.75" customHeight="1" x14ac:dyDescent="0.35">
      <c r="A6" s="75" t="s">
        <v>309</v>
      </c>
      <c r="B6" s="77">
        <v>65</v>
      </c>
      <c r="C6" s="1" t="s">
        <v>310</v>
      </c>
      <c r="D6" s="1"/>
      <c r="E6" s="1"/>
      <c r="F6" s="1"/>
      <c r="G6" s="1"/>
      <c r="I6" s="305" t="s">
        <v>311</v>
      </c>
      <c r="J6" s="305"/>
      <c r="K6" s="305"/>
      <c r="L6" s="305"/>
      <c r="M6" s="305"/>
      <c r="N6" s="305"/>
      <c r="O6" s="305"/>
      <c r="P6" s="307">
        <f>SUM(E25:E60)</f>
        <v>913165.3033369726</v>
      </c>
      <c r="Q6" s="307"/>
      <c r="R6" s="307"/>
      <c r="S6" s="307"/>
    </row>
    <row r="7" spans="1:20" ht="15.75" customHeight="1" x14ac:dyDescent="0.35">
      <c r="A7" s="75" t="s">
        <v>312</v>
      </c>
      <c r="B7" s="35">
        <v>0.06</v>
      </c>
      <c r="C7" s="1" t="s">
        <v>313</v>
      </c>
      <c r="D7" s="1"/>
      <c r="E7" s="1"/>
      <c r="F7" s="1"/>
      <c r="G7" s="1"/>
      <c r="I7" s="305" t="s">
        <v>314</v>
      </c>
      <c r="J7" s="305"/>
      <c r="K7" s="305"/>
      <c r="L7" s="305"/>
      <c r="M7" s="305"/>
      <c r="N7" s="305"/>
      <c r="O7" s="305"/>
      <c r="P7" s="306" t="str">
        <f>IFERROR(INDEX(B25:B60,MATCH(0,L25:L60,0)),"Still going at 100")</f>
        <v>Still going at 100</v>
      </c>
      <c r="Q7" s="306"/>
      <c r="R7" s="306"/>
      <c r="S7" s="306"/>
    </row>
    <row r="8" spans="1:20" ht="15.75" customHeight="1" x14ac:dyDescent="0.35">
      <c r="A8" s="75" t="s">
        <v>315</v>
      </c>
      <c r="B8" s="35">
        <v>2.5000000000000001E-2</v>
      </c>
      <c r="C8" s="1" t="s">
        <v>316</v>
      </c>
      <c r="D8" s="1"/>
      <c r="E8" s="1"/>
      <c r="F8" s="1"/>
      <c r="G8" s="1"/>
      <c r="I8" s="305" t="s">
        <v>317</v>
      </c>
      <c r="J8" s="305"/>
      <c r="K8" s="305"/>
      <c r="L8" s="305"/>
      <c r="M8" s="305"/>
      <c r="N8" s="305"/>
      <c r="O8" s="305"/>
      <c r="P8" s="307">
        <f>SUM(J25:J60)</f>
        <v>738643.65174230305</v>
      </c>
      <c r="Q8" s="307"/>
      <c r="R8" s="307"/>
      <c r="S8" s="307"/>
    </row>
    <row r="9" spans="1:20" ht="15.75" customHeight="1" x14ac:dyDescent="0.35">
      <c r="A9" s="75" t="s">
        <v>318</v>
      </c>
      <c r="B9" s="26">
        <v>78</v>
      </c>
      <c r="C9" s="1" t="s">
        <v>319</v>
      </c>
      <c r="D9" s="1"/>
      <c r="E9" s="1"/>
      <c r="F9" s="1"/>
      <c r="G9" s="1"/>
      <c r="I9" s="305" t="s">
        <v>320</v>
      </c>
      <c r="J9" s="305"/>
      <c r="K9" s="305"/>
      <c r="L9" s="305"/>
      <c r="M9" s="305"/>
      <c r="N9" s="305"/>
      <c r="O9" s="305"/>
      <c r="P9" s="306" t="str">
        <f>IFERROR(INDEX(B25:B60,MATCH(0,Q25:Q60,0)),"Still going at 100")</f>
        <v>Still going at 100</v>
      </c>
      <c r="Q9" s="306"/>
      <c r="R9" s="306"/>
      <c r="S9" s="306"/>
    </row>
    <row r="10" spans="1:20" ht="15.75" customHeight="1" x14ac:dyDescent="0.35">
      <c r="A10" s="75" t="s">
        <v>321</v>
      </c>
      <c r="B10" s="35">
        <v>5.0000000000000001E-3</v>
      </c>
      <c r="C10" s="1" t="s">
        <v>322</v>
      </c>
      <c r="D10" s="1"/>
      <c r="E10" s="1"/>
      <c r="F10" s="1"/>
      <c r="G10" s="1"/>
      <c r="I10" s="305" t="s">
        <v>323</v>
      </c>
      <c r="J10" s="305"/>
      <c r="K10" s="305"/>
      <c r="L10" s="305"/>
      <c r="M10" s="305"/>
      <c r="N10" s="305"/>
      <c r="O10" s="305"/>
      <c r="P10" s="307">
        <f>SUM(O25:O60)</f>
        <v>765047.89457779715</v>
      </c>
      <c r="Q10" s="307"/>
      <c r="R10" s="307"/>
      <c r="S10" s="307"/>
    </row>
    <row r="11" spans="1:20" ht="15.75" customHeight="1" x14ac:dyDescent="0.35">
      <c r="A11" s="75" t="s">
        <v>324</v>
      </c>
      <c r="B11" s="26">
        <v>28514</v>
      </c>
      <c r="C11" s="1" t="s">
        <v>325</v>
      </c>
      <c r="D11" s="1"/>
      <c r="E11" s="1"/>
      <c r="F11" s="1"/>
      <c r="G11" s="1"/>
      <c r="I11" s="305" t="s">
        <v>326</v>
      </c>
      <c r="J11" s="305"/>
      <c r="K11" s="305"/>
      <c r="L11" s="305"/>
      <c r="M11" s="305"/>
      <c r="N11" s="305"/>
      <c r="O11" s="305"/>
      <c r="P11" s="308">
        <f>67</f>
        <v>67</v>
      </c>
      <c r="Q11" s="308"/>
      <c r="R11" s="308"/>
      <c r="S11" s="308"/>
    </row>
    <row r="12" spans="1:20" ht="7.5" customHeight="1" x14ac:dyDescent="0.35"/>
    <row r="13" spans="1:20" ht="19.5" customHeight="1" x14ac:dyDescent="0.35">
      <c r="A13" s="7" t="s">
        <v>327</v>
      </c>
      <c r="B13" s="7"/>
      <c r="C13" s="7"/>
      <c r="D13" s="7"/>
      <c r="E13" s="7"/>
      <c r="F13" s="7"/>
      <c r="G13" s="7"/>
    </row>
    <row r="14" spans="1:20" ht="15.75" customHeight="1" x14ac:dyDescent="0.35">
      <c r="A14" s="78" t="s">
        <v>35</v>
      </c>
      <c r="B14" s="78" t="s">
        <v>328</v>
      </c>
      <c r="C14" s="309" t="s">
        <v>329</v>
      </c>
      <c r="D14" s="309"/>
      <c r="E14" s="309"/>
      <c r="F14" s="309"/>
      <c r="G14" s="309"/>
    </row>
    <row r="15" spans="1:20" ht="15" customHeight="1" x14ac:dyDescent="0.35">
      <c r="A15" s="79" t="s">
        <v>330</v>
      </c>
      <c r="B15" s="80" t="s">
        <v>331</v>
      </c>
      <c r="C15" s="310"/>
      <c r="D15" s="310"/>
      <c r="E15" s="310"/>
      <c r="F15" s="310"/>
      <c r="G15" s="310"/>
    </row>
    <row r="16" spans="1:20" ht="15" customHeight="1" x14ac:dyDescent="0.35">
      <c r="A16" s="81" t="s">
        <v>332</v>
      </c>
      <c r="B16" s="80" t="s">
        <v>333</v>
      </c>
      <c r="C16" s="311"/>
      <c r="D16" s="311"/>
      <c r="E16" s="311"/>
      <c r="F16" s="311"/>
      <c r="G16" s="311"/>
    </row>
    <row r="17" spans="1:19" ht="15" customHeight="1" x14ac:dyDescent="0.35">
      <c r="A17" s="79" t="s">
        <v>334</v>
      </c>
      <c r="B17" s="80" t="s">
        <v>335</v>
      </c>
      <c r="C17" s="310"/>
      <c r="D17" s="310"/>
      <c r="E17" s="310"/>
      <c r="F17" s="310"/>
      <c r="G17" s="310"/>
    </row>
    <row r="18" spans="1:19" ht="15" customHeight="1" x14ac:dyDescent="0.35">
      <c r="A18" s="81" t="s">
        <v>336</v>
      </c>
      <c r="B18" s="80" t="s">
        <v>337</v>
      </c>
      <c r="C18" s="311"/>
      <c r="D18" s="311"/>
      <c r="E18" s="311"/>
      <c r="F18" s="311"/>
      <c r="G18" s="311"/>
    </row>
    <row r="19" spans="1:19" ht="15" customHeight="1" x14ac:dyDescent="0.35">
      <c r="A19" s="79" t="s">
        <v>338</v>
      </c>
      <c r="B19" s="80" t="s">
        <v>339</v>
      </c>
      <c r="C19" s="310"/>
      <c r="D19" s="310"/>
      <c r="E19" s="310"/>
      <c r="F19" s="310"/>
      <c r="G19" s="310"/>
    </row>
    <row r="20" spans="1:19" ht="15" customHeight="1" x14ac:dyDescent="0.35">
      <c r="A20" s="81" t="s">
        <v>340</v>
      </c>
      <c r="B20" s="80" t="s">
        <v>341</v>
      </c>
      <c r="C20" s="311"/>
      <c r="D20" s="311"/>
      <c r="E20" s="311"/>
      <c r="F20" s="311"/>
      <c r="G20" s="311"/>
    </row>
    <row r="21" spans="1:19" ht="15" customHeight="1" x14ac:dyDescent="0.35">
      <c r="A21" s="79" t="s">
        <v>342</v>
      </c>
      <c r="B21" s="80" t="s">
        <v>343</v>
      </c>
      <c r="C21" s="310"/>
      <c r="D21" s="310"/>
      <c r="E21" s="310"/>
      <c r="F21" s="310"/>
      <c r="G21" s="310"/>
    </row>
    <row r="23" spans="1:19" ht="18" customHeight="1" x14ac:dyDescent="0.35">
      <c r="A23" s="19"/>
      <c r="B23" s="19"/>
      <c r="C23" s="312" t="s">
        <v>344</v>
      </c>
      <c r="D23" s="312"/>
      <c r="E23" s="312"/>
      <c r="F23" s="312"/>
      <c r="G23" s="312"/>
      <c r="H23" s="19"/>
      <c r="I23" s="313" t="s">
        <v>345</v>
      </c>
      <c r="J23" s="313"/>
      <c r="K23" s="313"/>
      <c r="L23" s="313"/>
      <c r="M23" s="19"/>
      <c r="N23" s="313" t="s">
        <v>346</v>
      </c>
      <c r="O23" s="313"/>
      <c r="P23" s="313"/>
      <c r="Q23" s="313"/>
      <c r="R23" s="19"/>
      <c r="S23" s="19"/>
    </row>
    <row r="24" spans="1:19" ht="39.75" customHeight="1" x14ac:dyDescent="0.35">
      <c r="A24" s="20" t="s">
        <v>347</v>
      </c>
      <c r="B24" s="20" t="s">
        <v>348</v>
      </c>
      <c r="C24" s="20" t="s">
        <v>349</v>
      </c>
      <c r="D24" s="20" t="s">
        <v>350</v>
      </c>
      <c r="E24" s="20" t="s">
        <v>351</v>
      </c>
      <c r="F24" s="20" t="s">
        <v>352</v>
      </c>
      <c r="G24" s="20" t="s">
        <v>353</v>
      </c>
      <c r="H24" s="39"/>
      <c r="I24" s="15" t="s">
        <v>349</v>
      </c>
      <c r="J24" s="15" t="s">
        <v>351</v>
      </c>
      <c r="K24" s="15" t="s">
        <v>352</v>
      </c>
      <c r="L24" s="15" t="s">
        <v>353</v>
      </c>
      <c r="M24" s="39"/>
      <c r="N24" s="15" t="s">
        <v>349</v>
      </c>
      <c r="O24" s="15" t="s">
        <v>351</v>
      </c>
      <c r="P24" s="15" t="s">
        <v>352</v>
      </c>
      <c r="Q24" s="15" t="s">
        <v>353</v>
      </c>
      <c r="R24" s="39"/>
      <c r="S24" s="20" t="s">
        <v>354</v>
      </c>
    </row>
    <row r="25" spans="1:19" ht="15.75" customHeight="1" x14ac:dyDescent="0.35">
      <c r="A25" s="82">
        <v>1</v>
      </c>
      <c r="B25" s="83">
        <f>$B$6+0</f>
        <v>65</v>
      </c>
      <c r="C25" s="84">
        <f>$B$5</f>
        <v>400000</v>
      </c>
      <c r="D25" s="85">
        <f t="shared" ref="D25:D60" si="0">IF(B25&lt;65,0.04,IF(B25&lt;=74,0.05,IF(B25&lt;=79,0.06,IF(B25&lt;=84,0.07,IF(B25&lt;=89,0.09,IF(B25&lt;=94,0.11,0.14))))))</f>
        <v>0.05</v>
      </c>
      <c r="E25" s="84">
        <f t="shared" ref="E25:E60" si="1">IF(C25&lt;=0,0,C25*D25)</f>
        <v>20000</v>
      </c>
      <c r="F25" s="84">
        <f t="shared" ref="F25:F60" si="2">IF(C25&lt;=0,0,(C25-E25/2)*$B$7-(($B$9+(C25-E25/2)*$B$10)))</f>
        <v>21372</v>
      </c>
      <c r="G25" s="86">
        <f t="shared" ref="G25:G60" si="3">MAX(0,C25-E25+F25)</f>
        <v>401372</v>
      </c>
      <c r="H25" s="19"/>
      <c r="I25" s="87">
        <f>$B$5</f>
        <v>400000</v>
      </c>
      <c r="J25" s="87">
        <f t="shared" ref="J25:J60" si="4">IF(I25&lt;=0,0,I25*0.04)</f>
        <v>16000</v>
      </c>
      <c r="K25" s="87">
        <f t="shared" ref="K25:K60" si="5">IF(I25&lt;=0,0,(I25-J25/2)*$B$7-(($B$9+(I25-J25/2)*$B$10)))</f>
        <v>21482</v>
      </c>
      <c r="L25" s="88">
        <f t="shared" ref="L25:L60" si="6">MAX(0,I25-J25+K25)</f>
        <v>405482</v>
      </c>
      <c r="M25" s="19"/>
      <c r="N25" s="89">
        <f>$B$5</f>
        <v>400000</v>
      </c>
      <c r="O25" s="89">
        <f t="shared" ref="O25:O60" si="7">IF(N25&lt;=0,0,N25*0.05)</f>
        <v>20000</v>
      </c>
      <c r="P25" s="89">
        <f t="shared" ref="P25:P60" si="8">IF(N25&lt;=0,0,(N25-O25/2)*$B$7-(($B$9+(N25-O25/2)*$B$10)))</f>
        <v>21372</v>
      </c>
      <c r="Q25" s="90">
        <f t="shared" ref="Q25:Q60" si="9">MAX(0,N25-O25+P25)</f>
        <v>401372</v>
      </c>
      <c r="R25" s="19"/>
      <c r="S25" s="91" t="str">
        <f t="shared" ref="S25:S60" si="10">IF(B25=67,"★ Age Pension eligible (67)",IF(G25&lt;=0,"⚠ Scenario A exhausted at age "&amp;TEXT(B25,"0"),IF(L25&lt;=0,"⚠ Scenario B exhausted at age "&amp;TEXT(B25,"0"),IF(Q25&lt;=0,"⚠ Scenario C exhausted at age "&amp;TEXT(B25,"0"),""))))</f>
        <v/>
      </c>
    </row>
    <row r="26" spans="1:19" ht="15.75" customHeight="1" x14ac:dyDescent="0.35">
      <c r="A26" s="82">
        <v>2</v>
      </c>
      <c r="B26" s="83">
        <f>$B$6+1</f>
        <v>66</v>
      </c>
      <c r="C26" s="92">
        <f t="shared" ref="C26:C60" si="11">MAX(0,G25)</f>
        <v>401372</v>
      </c>
      <c r="D26" s="93">
        <f t="shared" si="0"/>
        <v>0.05</v>
      </c>
      <c r="E26" s="92">
        <f t="shared" si="1"/>
        <v>20068.600000000002</v>
      </c>
      <c r="F26" s="92">
        <f t="shared" si="2"/>
        <v>21445.573499999999</v>
      </c>
      <c r="G26" s="94">
        <f t="shared" si="3"/>
        <v>402748.97350000002</v>
      </c>
      <c r="H26" s="19"/>
      <c r="I26" s="87">
        <f t="shared" ref="I26:I60" si="12">MAX(0,L25)</f>
        <v>405482</v>
      </c>
      <c r="J26" s="87">
        <f t="shared" si="4"/>
        <v>16219.28</v>
      </c>
      <c r="K26" s="87">
        <f t="shared" si="5"/>
        <v>21777.479800000001</v>
      </c>
      <c r="L26" s="88">
        <f t="shared" si="6"/>
        <v>411040.19979999994</v>
      </c>
      <c r="M26" s="19"/>
      <c r="N26" s="89">
        <f t="shared" ref="N26:N60" si="13">MAX(0,Q25)</f>
        <v>401372</v>
      </c>
      <c r="O26" s="89">
        <f t="shared" si="7"/>
        <v>20068.600000000002</v>
      </c>
      <c r="P26" s="89">
        <f t="shared" si="8"/>
        <v>21445.573499999999</v>
      </c>
      <c r="Q26" s="90">
        <f t="shared" si="9"/>
        <v>402748.97350000002</v>
      </c>
      <c r="R26" s="19"/>
      <c r="S26" s="95" t="str">
        <f t="shared" si="10"/>
        <v/>
      </c>
    </row>
    <row r="27" spans="1:19" ht="15.75" customHeight="1" x14ac:dyDescent="0.35">
      <c r="A27" s="82">
        <v>3</v>
      </c>
      <c r="B27" s="83">
        <f>$B$6+2</f>
        <v>67</v>
      </c>
      <c r="C27" s="84">
        <f t="shared" si="11"/>
        <v>402748.97350000002</v>
      </c>
      <c r="D27" s="85">
        <f t="shared" si="0"/>
        <v>0.05</v>
      </c>
      <c r="E27" s="84">
        <f t="shared" si="1"/>
        <v>20137.448675000003</v>
      </c>
      <c r="F27" s="84">
        <f t="shared" si="2"/>
        <v>21519.413703937502</v>
      </c>
      <c r="G27" s="86">
        <f t="shared" si="3"/>
        <v>404130.93852893752</v>
      </c>
      <c r="H27" s="19"/>
      <c r="I27" s="87">
        <f t="shared" si="12"/>
        <v>411040.19979999994</v>
      </c>
      <c r="J27" s="87">
        <f t="shared" si="4"/>
        <v>16441.607991999997</v>
      </c>
      <c r="K27" s="87">
        <f t="shared" si="5"/>
        <v>22077.066769219997</v>
      </c>
      <c r="L27" s="88">
        <f t="shared" si="6"/>
        <v>416675.65857721993</v>
      </c>
      <c r="M27" s="19"/>
      <c r="N27" s="89">
        <f t="shared" si="13"/>
        <v>402748.97350000002</v>
      </c>
      <c r="O27" s="89">
        <f t="shared" si="7"/>
        <v>20137.448675000003</v>
      </c>
      <c r="P27" s="89">
        <f t="shared" si="8"/>
        <v>21519.413703937502</v>
      </c>
      <c r="Q27" s="90">
        <f t="shared" si="9"/>
        <v>404130.93852893752</v>
      </c>
      <c r="R27" s="19"/>
      <c r="S27" s="91" t="str">
        <f t="shared" si="10"/>
        <v>★ Age Pension eligible (67)</v>
      </c>
    </row>
    <row r="28" spans="1:19" ht="15.75" customHeight="1" x14ac:dyDescent="0.35">
      <c r="A28" s="82">
        <v>4</v>
      </c>
      <c r="B28" s="83">
        <f>$B$6+3</f>
        <v>68</v>
      </c>
      <c r="C28" s="92">
        <f t="shared" si="11"/>
        <v>404130.93852893752</v>
      </c>
      <c r="D28" s="93">
        <f t="shared" si="0"/>
        <v>0.05</v>
      </c>
      <c r="E28" s="92">
        <f t="shared" si="1"/>
        <v>20206.546926446877</v>
      </c>
      <c r="F28" s="92">
        <f t="shared" si="2"/>
        <v>21593.521578614273</v>
      </c>
      <c r="G28" s="94">
        <f t="shared" si="3"/>
        <v>405517.91318110487</v>
      </c>
      <c r="H28" s="19"/>
      <c r="I28" s="87">
        <f t="shared" si="12"/>
        <v>416675.65857721993</v>
      </c>
      <c r="J28" s="87">
        <f t="shared" si="4"/>
        <v>16667.026343088797</v>
      </c>
      <c r="K28" s="87">
        <f t="shared" si="5"/>
        <v>22380.817997312151</v>
      </c>
      <c r="L28" s="88">
        <f t="shared" si="6"/>
        <v>422389.45023144333</v>
      </c>
      <c r="M28" s="19"/>
      <c r="N28" s="89">
        <f t="shared" si="13"/>
        <v>404130.93852893752</v>
      </c>
      <c r="O28" s="89">
        <f t="shared" si="7"/>
        <v>20206.546926446877</v>
      </c>
      <c r="P28" s="89">
        <f t="shared" si="8"/>
        <v>21593.521578614273</v>
      </c>
      <c r="Q28" s="90">
        <f t="shared" si="9"/>
        <v>405517.91318110487</v>
      </c>
      <c r="R28" s="19"/>
      <c r="S28" s="95" t="str">
        <f t="shared" si="10"/>
        <v/>
      </c>
    </row>
    <row r="29" spans="1:19" ht="15.75" customHeight="1" x14ac:dyDescent="0.35">
      <c r="A29" s="82">
        <v>5</v>
      </c>
      <c r="B29" s="83">
        <f>$B$6+4</f>
        <v>69</v>
      </c>
      <c r="C29" s="84">
        <f t="shared" si="11"/>
        <v>405517.91318110487</v>
      </c>
      <c r="D29" s="85">
        <f t="shared" si="0"/>
        <v>0.05</v>
      </c>
      <c r="E29" s="84">
        <f t="shared" si="1"/>
        <v>20275.895659055244</v>
      </c>
      <c r="F29" s="84">
        <f t="shared" si="2"/>
        <v>21667.89809433675</v>
      </c>
      <c r="G29" s="86">
        <f t="shared" si="3"/>
        <v>406909.91561638634</v>
      </c>
      <c r="H29" s="19"/>
      <c r="I29" s="87">
        <f t="shared" si="12"/>
        <v>422389.45023144333</v>
      </c>
      <c r="J29" s="87">
        <f t="shared" si="4"/>
        <v>16895.578009257733</v>
      </c>
      <c r="K29" s="87">
        <f t="shared" si="5"/>
        <v>22688.791367474798</v>
      </c>
      <c r="L29" s="88">
        <f t="shared" si="6"/>
        <v>428182.66358966043</v>
      </c>
      <c r="M29" s="19"/>
      <c r="N29" s="89">
        <f t="shared" si="13"/>
        <v>405517.91318110487</v>
      </c>
      <c r="O29" s="89">
        <f t="shared" si="7"/>
        <v>20275.895659055244</v>
      </c>
      <c r="P29" s="89">
        <f t="shared" si="8"/>
        <v>21667.89809433675</v>
      </c>
      <c r="Q29" s="90">
        <f t="shared" si="9"/>
        <v>406909.91561638634</v>
      </c>
      <c r="R29" s="19"/>
      <c r="S29" s="91" t="str">
        <f t="shared" si="10"/>
        <v/>
      </c>
    </row>
    <row r="30" spans="1:19" ht="15.75" customHeight="1" x14ac:dyDescent="0.35">
      <c r="A30" s="82">
        <v>6</v>
      </c>
      <c r="B30" s="83">
        <f>$B$6+5</f>
        <v>70</v>
      </c>
      <c r="C30" s="92">
        <f t="shared" si="11"/>
        <v>406909.91561638634</v>
      </c>
      <c r="D30" s="93">
        <f t="shared" si="0"/>
        <v>0.05</v>
      </c>
      <c r="E30" s="92">
        <f t="shared" si="1"/>
        <v>20345.495780819318</v>
      </c>
      <c r="F30" s="92">
        <f t="shared" si="2"/>
        <v>21742.544224928715</v>
      </c>
      <c r="G30" s="94">
        <f t="shared" si="3"/>
        <v>408306.96406049572</v>
      </c>
      <c r="H30" s="19"/>
      <c r="I30" s="87">
        <f t="shared" si="12"/>
        <v>428182.66358966043</v>
      </c>
      <c r="J30" s="87">
        <f t="shared" si="4"/>
        <v>17127.306543586419</v>
      </c>
      <c r="K30" s="87">
        <f t="shared" si="5"/>
        <v>23001.045567482699</v>
      </c>
      <c r="L30" s="88">
        <f t="shared" si="6"/>
        <v>434056.40261355671</v>
      </c>
      <c r="M30" s="19"/>
      <c r="N30" s="89">
        <f t="shared" si="13"/>
        <v>406909.91561638634</v>
      </c>
      <c r="O30" s="89">
        <f t="shared" si="7"/>
        <v>20345.495780819318</v>
      </c>
      <c r="P30" s="89">
        <f t="shared" si="8"/>
        <v>21742.544224928715</v>
      </c>
      <c r="Q30" s="90">
        <f t="shared" si="9"/>
        <v>408306.96406049572</v>
      </c>
      <c r="R30" s="19"/>
      <c r="S30" s="95" t="str">
        <f t="shared" si="10"/>
        <v/>
      </c>
    </row>
    <row r="31" spans="1:19" ht="15.75" customHeight="1" x14ac:dyDescent="0.35">
      <c r="A31" s="82">
        <v>7</v>
      </c>
      <c r="B31" s="83">
        <f>$B$6+6</f>
        <v>71</v>
      </c>
      <c r="C31" s="84">
        <f t="shared" si="11"/>
        <v>408306.96406049572</v>
      </c>
      <c r="D31" s="85">
        <f t="shared" si="0"/>
        <v>0.05</v>
      </c>
      <c r="E31" s="84">
        <f t="shared" si="1"/>
        <v>20415.348203024787</v>
      </c>
      <c r="F31" s="84">
        <f t="shared" si="2"/>
        <v>21817.460947744083</v>
      </c>
      <c r="G31" s="86">
        <f t="shared" si="3"/>
        <v>409709.07680521504</v>
      </c>
      <c r="H31" s="19"/>
      <c r="I31" s="87">
        <f t="shared" si="12"/>
        <v>434056.40261355671</v>
      </c>
      <c r="J31" s="87">
        <f t="shared" si="4"/>
        <v>17362.25610454227</v>
      </c>
      <c r="K31" s="87">
        <f t="shared" si="5"/>
        <v>23317.640100870703</v>
      </c>
      <c r="L31" s="88">
        <f t="shared" si="6"/>
        <v>440011.78660988511</v>
      </c>
      <c r="M31" s="19"/>
      <c r="N31" s="89">
        <f t="shared" si="13"/>
        <v>408306.96406049572</v>
      </c>
      <c r="O31" s="89">
        <f t="shared" si="7"/>
        <v>20415.348203024787</v>
      </c>
      <c r="P31" s="89">
        <f t="shared" si="8"/>
        <v>21817.460947744083</v>
      </c>
      <c r="Q31" s="90">
        <f t="shared" si="9"/>
        <v>409709.07680521504</v>
      </c>
      <c r="R31" s="19"/>
      <c r="S31" s="91" t="str">
        <f t="shared" si="10"/>
        <v/>
      </c>
    </row>
    <row r="32" spans="1:19" ht="15.75" customHeight="1" x14ac:dyDescent="0.35">
      <c r="A32" s="82">
        <v>8</v>
      </c>
      <c r="B32" s="83">
        <f>$B$6+7</f>
        <v>72</v>
      </c>
      <c r="C32" s="92">
        <f t="shared" si="11"/>
        <v>409709.07680521504</v>
      </c>
      <c r="D32" s="93">
        <f t="shared" si="0"/>
        <v>0.05</v>
      </c>
      <c r="E32" s="92">
        <f t="shared" si="1"/>
        <v>20485.453840260754</v>
      </c>
      <c r="F32" s="92">
        <f t="shared" si="2"/>
        <v>21892.649243679658</v>
      </c>
      <c r="G32" s="94">
        <f t="shared" si="3"/>
        <v>411116.27220863395</v>
      </c>
      <c r="H32" s="19"/>
      <c r="I32" s="87">
        <f t="shared" si="12"/>
        <v>440011.78660988511</v>
      </c>
      <c r="J32" s="87">
        <f t="shared" si="4"/>
        <v>17600.471464395403</v>
      </c>
      <c r="K32" s="87">
        <f t="shared" si="5"/>
        <v>23638.635298272809</v>
      </c>
      <c r="L32" s="88">
        <f t="shared" si="6"/>
        <v>446049.95044376253</v>
      </c>
      <c r="M32" s="19"/>
      <c r="N32" s="89">
        <f t="shared" si="13"/>
        <v>409709.07680521504</v>
      </c>
      <c r="O32" s="89">
        <f t="shared" si="7"/>
        <v>20485.453840260754</v>
      </c>
      <c r="P32" s="89">
        <f t="shared" si="8"/>
        <v>21892.649243679658</v>
      </c>
      <c r="Q32" s="90">
        <f t="shared" si="9"/>
        <v>411116.27220863395</v>
      </c>
      <c r="R32" s="19"/>
      <c r="S32" s="95" t="str">
        <f t="shared" si="10"/>
        <v/>
      </c>
    </row>
    <row r="33" spans="1:19" ht="15.75" customHeight="1" x14ac:dyDescent="0.35">
      <c r="A33" s="82">
        <v>9</v>
      </c>
      <c r="B33" s="83">
        <f>$B$6+8</f>
        <v>73</v>
      </c>
      <c r="C33" s="84">
        <f t="shared" si="11"/>
        <v>411116.27220863395</v>
      </c>
      <c r="D33" s="85">
        <f t="shared" si="0"/>
        <v>0.05</v>
      </c>
      <c r="E33" s="84">
        <f t="shared" si="1"/>
        <v>20555.813610431698</v>
      </c>
      <c r="F33" s="84">
        <f t="shared" si="2"/>
        <v>21968.110097187993</v>
      </c>
      <c r="G33" s="86">
        <f t="shared" si="3"/>
        <v>412528.56869539025</v>
      </c>
      <c r="H33" s="19"/>
      <c r="I33" s="87">
        <f t="shared" si="12"/>
        <v>446049.95044376253</v>
      </c>
      <c r="J33" s="87">
        <f t="shared" si="4"/>
        <v>17841.998017750502</v>
      </c>
      <c r="K33" s="87">
        <f t="shared" si="5"/>
        <v>23964.092328918803</v>
      </c>
      <c r="L33" s="88">
        <f t="shared" si="6"/>
        <v>452172.04475493083</v>
      </c>
      <c r="M33" s="19"/>
      <c r="N33" s="89">
        <f t="shared" si="13"/>
        <v>411116.27220863395</v>
      </c>
      <c r="O33" s="89">
        <f t="shared" si="7"/>
        <v>20555.813610431698</v>
      </c>
      <c r="P33" s="89">
        <f t="shared" si="8"/>
        <v>21968.110097187993</v>
      </c>
      <c r="Q33" s="90">
        <f t="shared" si="9"/>
        <v>412528.56869539025</v>
      </c>
      <c r="R33" s="19"/>
      <c r="S33" s="91" t="str">
        <f t="shared" si="10"/>
        <v/>
      </c>
    </row>
    <row r="34" spans="1:19" ht="15.75" customHeight="1" x14ac:dyDescent="0.35">
      <c r="A34" s="82">
        <v>10</v>
      </c>
      <c r="B34" s="83">
        <f>$B$6+9</f>
        <v>74</v>
      </c>
      <c r="C34" s="92">
        <f t="shared" si="11"/>
        <v>412528.56869539025</v>
      </c>
      <c r="D34" s="93">
        <f t="shared" si="0"/>
        <v>0.05</v>
      </c>
      <c r="E34" s="92">
        <f t="shared" si="1"/>
        <v>20626.428434769514</v>
      </c>
      <c r="F34" s="92">
        <f t="shared" si="2"/>
        <v>22043.844496290301</v>
      </c>
      <c r="G34" s="94">
        <f t="shared" si="3"/>
        <v>413945.98475691106</v>
      </c>
      <c r="H34" s="19"/>
      <c r="I34" s="87">
        <f t="shared" si="12"/>
        <v>452172.04475493083</v>
      </c>
      <c r="J34" s="87">
        <f t="shared" si="4"/>
        <v>18086.881790197232</v>
      </c>
      <c r="K34" s="87">
        <f t="shared" si="5"/>
        <v>24294.073212290772</v>
      </c>
      <c r="L34" s="88">
        <f t="shared" si="6"/>
        <v>458379.23617702437</v>
      </c>
      <c r="M34" s="19"/>
      <c r="N34" s="89">
        <f t="shared" si="13"/>
        <v>412528.56869539025</v>
      </c>
      <c r="O34" s="89">
        <f t="shared" si="7"/>
        <v>20626.428434769514</v>
      </c>
      <c r="P34" s="89">
        <f t="shared" si="8"/>
        <v>22043.844496290301</v>
      </c>
      <c r="Q34" s="90">
        <f t="shared" si="9"/>
        <v>413945.98475691106</v>
      </c>
      <c r="R34" s="19"/>
      <c r="S34" s="95" t="str">
        <f t="shared" si="10"/>
        <v/>
      </c>
    </row>
    <row r="35" spans="1:19" ht="15.75" customHeight="1" x14ac:dyDescent="0.35">
      <c r="A35" s="82">
        <v>11</v>
      </c>
      <c r="B35" s="83">
        <f>$B$6+10</f>
        <v>75</v>
      </c>
      <c r="C35" s="84">
        <f t="shared" si="11"/>
        <v>413945.98475691106</v>
      </c>
      <c r="D35" s="85">
        <f t="shared" si="0"/>
        <v>0.06</v>
      </c>
      <c r="E35" s="84">
        <f t="shared" si="1"/>
        <v>24836.759085414662</v>
      </c>
      <c r="F35" s="84">
        <f t="shared" si="2"/>
        <v>22006.018286781204</v>
      </c>
      <c r="G35" s="86">
        <f t="shared" si="3"/>
        <v>411115.24395827763</v>
      </c>
      <c r="H35" s="19"/>
      <c r="I35" s="87">
        <f t="shared" si="12"/>
        <v>458379.23617702437</v>
      </c>
      <c r="J35" s="87">
        <f t="shared" si="4"/>
        <v>18335.169447080974</v>
      </c>
      <c r="K35" s="87">
        <f t="shared" si="5"/>
        <v>24628.640829941611</v>
      </c>
      <c r="L35" s="88">
        <f t="shared" si="6"/>
        <v>464672.70755988499</v>
      </c>
      <c r="M35" s="19"/>
      <c r="N35" s="89">
        <f t="shared" si="13"/>
        <v>413945.98475691106</v>
      </c>
      <c r="O35" s="89">
        <f t="shared" si="7"/>
        <v>20697.299237845553</v>
      </c>
      <c r="P35" s="89">
        <f t="shared" si="8"/>
        <v>22119.853432589352</v>
      </c>
      <c r="Q35" s="90">
        <f t="shared" si="9"/>
        <v>415368.5389516548</v>
      </c>
      <c r="R35" s="19"/>
      <c r="S35" s="91" t="str">
        <f t="shared" si="10"/>
        <v/>
      </c>
    </row>
    <row r="36" spans="1:19" ht="15.75" customHeight="1" x14ac:dyDescent="0.35">
      <c r="A36" s="82">
        <v>12</v>
      </c>
      <c r="B36" s="83">
        <f>$B$6+11</f>
        <v>76</v>
      </c>
      <c r="C36" s="92">
        <f t="shared" si="11"/>
        <v>411115.24395827763</v>
      </c>
      <c r="D36" s="93">
        <f t="shared" si="0"/>
        <v>0.06</v>
      </c>
      <c r="E36" s="92">
        <f t="shared" si="1"/>
        <v>24666.914637496659</v>
      </c>
      <c r="F36" s="92">
        <f t="shared" si="2"/>
        <v>21854.998265174108</v>
      </c>
      <c r="G36" s="94">
        <f t="shared" si="3"/>
        <v>408303.32758595509</v>
      </c>
      <c r="H36" s="19"/>
      <c r="I36" s="87">
        <f t="shared" si="12"/>
        <v>464672.70755988499</v>
      </c>
      <c r="J36" s="87">
        <f t="shared" si="4"/>
        <v>18586.908302395401</v>
      </c>
      <c r="K36" s="87">
        <f t="shared" si="5"/>
        <v>24967.858937477798</v>
      </c>
      <c r="L36" s="88">
        <f t="shared" si="6"/>
        <v>471053.65819496743</v>
      </c>
      <c r="M36" s="19"/>
      <c r="N36" s="89">
        <f t="shared" si="13"/>
        <v>415368.5389516548</v>
      </c>
      <c r="O36" s="89">
        <f t="shared" si="7"/>
        <v>20768.426947582742</v>
      </c>
      <c r="P36" s="89">
        <f t="shared" si="8"/>
        <v>22196.137901282487</v>
      </c>
      <c r="Q36" s="90">
        <f t="shared" si="9"/>
        <v>416796.24990535452</v>
      </c>
      <c r="R36" s="19"/>
      <c r="S36" s="95" t="str">
        <f t="shared" si="10"/>
        <v/>
      </c>
    </row>
    <row r="37" spans="1:19" ht="15.75" customHeight="1" x14ac:dyDescent="0.35">
      <c r="A37" s="82">
        <v>13</v>
      </c>
      <c r="B37" s="83">
        <f>$B$6+12</f>
        <v>77</v>
      </c>
      <c r="C37" s="84">
        <f t="shared" si="11"/>
        <v>408303.32758595509</v>
      </c>
      <c r="D37" s="85">
        <f t="shared" si="0"/>
        <v>0.06</v>
      </c>
      <c r="E37" s="84">
        <f t="shared" si="1"/>
        <v>24498.199655157303</v>
      </c>
      <c r="F37" s="84">
        <f t="shared" si="2"/>
        <v>21704.982526710704</v>
      </c>
      <c r="G37" s="86">
        <f t="shared" si="3"/>
        <v>405510.11045750853</v>
      </c>
      <c r="H37" s="19"/>
      <c r="I37" s="87">
        <f t="shared" si="12"/>
        <v>471053.65819496743</v>
      </c>
      <c r="J37" s="87">
        <f t="shared" si="4"/>
        <v>18842.146327798699</v>
      </c>
      <c r="K37" s="87">
        <f t="shared" si="5"/>
        <v>25311.792176708739</v>
      </c>
      <c r="L37" s="88">
        <f t="shared" si="6"/>
        <v>477523.30404387746</v>
      </c>
      <c r="M37" s="19"/>
      <c r="N37" s="89">
        <f t="shared" si="13"/>
        <v>416796.24990535452</v>
      </c>
      <c r="O37" s="89">
        <f t="shared" si="7"/>
        <v>20839.812495267728</v>
      </c>
      <c r="P37" s="89">
        <f t="shared" si="8"/>
        <v>22272.698901174634</v>
      </c>
      <c r="Q37" s="90">
        <f t="shared" si="9"/>
        <v>418229.13631126145</v>
      </c>
      <c r="R37" s="19"/>
      <c r="S37" s="91" t="str">
        <f t="shared" si="10"/>
        <v/>
      </c>
    </row>
    <row r="38" spans="1:19" ht="15.75" customHeight="1" x14ac:dyDescent="0.35">
      <c r="A38" s="82">
        <v>14</v>
      </c>
      <c r="B38" s="83">
        <f>$B$6+13</f>
        <v>78</v>
      </c>
      <c r="C38" s="92">
        <f t="shared" si="11"/>
        <v>405510.11045750853</v>
      </c>
      <c r="D38" s="93">
        <f t="shared" si="0"/>
        <v>0.06</v>
      </c>
      <c r="E38" s="92">
        <f t="shared" si="1"/>
        <v>24330.60662745051</v>
      </c>
      <c r="F38" s="92">
        <f t="shared" si="2"/>
        <v>21555.964392908081</v>
      </c>
      <c r="G38" s="94">
        <f t="shared" si="3"/>
        <v>402735.46822296613</v>
      </c>
      <c r="H38" s="19"/>
      <c r="I38" s="87">
        <f t="shared" si="12"/>
        <v>477523.30404387746</v>
      </c>
      <c r="J38" s="87">
        <f t="shared" si="4"/>
        <v>19100.9321617551</v>
      </c>
      <c r="K38" s="87">
        <f t="shared" si="5"/>
        <v>25660.506087964997</v>
      </c>
      <c r="L38" s="88">
        <f t="shared" si="6"/>
        <v>484082.87797008734</v>
      </c>
      <c r="M38" s="19"/>
      <c r="N38" s="89">
        <f t="shared" si="13"/>
        <v>418229.13631126145</v>
      </c>
      <c r="O38" s="89">
        <f t="shared" si="7"/>
        <v>20911.456815563073</v>
      </c>
      <c r="P38" s="89">
        <f t="shared" si="8"/>
        <v>22349.537434691396</v>
      </c>
      <c r="Q38" s="90">
        <f t="shared" si="9"/>
        <v>419667.21693038975</v>
      </c>
      <c r="R38" s="19"/>
      <c r="S38" s="95" t="str">
        <f t="shared" si="10"/>
        <v/>
      </c>
    </row>
    <row r="39" spans="1:19" ht="15.75" customHeight="1" x14ac:dyDescent="0.35">
      <c r="A39" s="82">
        <v>15</v>
      </c>
      <c r="B39" s="83">
        <f>$B$6+14</f>
        <v>79</v>
      </c>
      <c r="C39" s="84">
        <f t="shared" si="11"/>
        <v>402735.46822296613</v>
      </c>
      <c r="D39" s="85">
        <f t="shared" si="0"/>
        <v>0.06</v>
      </c>
      <c r="E39" s="84">
        <f t="shared" si="1"/>
        <v>24164.128093377967</v>
      </c>
      <c r="F39" s="84">
        <f t="shared" si="2"/>
        <v>21407.937229695242</v>
      </c>
      <c r="G39" s="86">
        <f t="shared" si="3"/>
        <v>399979.27735928341</v>
      </c>
      <c r="H39" s="19"/>
      <c r="I39" s="87">
        <f t="shared" si="12"/>
        <v>484082.87797008734</v>
      </c>
      <c r="J39" s="87">
        <f t="shared" si="4"/>
        <v>19363.315118803494</v>
      </c>
      <c r="K39" s="87">
        <f t="shared" si="5"/>
        <v>26014.067122587709</v>
      </c>
      <c r="L39" s="88">
        <f t="shared" si="6"/>
        <v>490733.62997387158</v>
      </c>
      <c r="M39" s="19"/>
      <c r="N39" s="89">
        <f t="shared" si="13"/>
        <v>419667.21693038975</v>
      </c>
      <c r="O39" s="89">
        <f t="shared" si="7"/>
        <v>20983.360846519488</v>
      </c>
      <c r="P39" s="89">
        <f t="shared" si="8"/>
        <v>22426.654507892148</v>
      </c>
      <c r="Q39" s="90">
        <f t="shared" si="9"/>
        <v>421110.51059176243</v>
      </c>
      <c r="R39" s="19"/>
      <c r="S39" s="91" t="str">
        <f t="shared" si="10"/>
        <v/>
      </c>
    </row>
    <row r="40" spans="1:19" ht="15.75" customHeight="1" x14ac:dyDescent="0.35">
      <c r="A40" s="82">
        <v>16</v>
      </c>
      <c r="B40" s="83">
        <f>$B$6+15</f>
        <v>80</v>
      </c>
      <c r="C40" s="92">
        <f t="shared" si="11"/>
        <v>399979.27735928341</v>
      </c>
      <c r="D40" s="93">
        <f t="shared" si="0"/>
        <v>7.0000000000000007E-2</v>
      </c>
      <c r="E40" s="92">
        <f t="shared" si="1"/>
        <v>27998.549415149842</v>
      </c>
      <c r="F40" s="92">
        <f t="shared" si="2"/>
        <v>21150.900145843967</v>
      </c>
      <c r="G40" s="94">
        <f t="shared" si="3"/>
        <v>393131.62808997754</v>
      </c>
      <c r="H40" s="19"/>
      <c r="I40" s="87">
        <f t="shared" si="12"/>
        <v>490733.62997387158</v>
      </c>
      <c r="J40" s="87">
        <f t="shared" si="4"/>
        <v>19629.345198954863</v>
      </c>
      <c r="K40" s="87">
        <f t="shared" si="5"/>
        <v>26372.542655591678</v>
      </c>
      <c r="L40" s="88">
        <f t="shared" si="6"/>
        <v>497476.82743050839</v>
      </c>
      <c r="M40" s="19"/>
      <c r="N40" s="89">
        <f t="shared" si="13"/>
        <v>421110.51059176243</v>
      </c>
      <c r="O40" s="89">
        <f t="shared" si="7"/>
        <v>21055.525529588122</v>
      </c>
      <c r="P40" s="89">
        <f t="shared" si="8"/>
        <v>22504.051130483262</v>
      </c>
      <c r="Q40" s="90">
        <f t="shared" si="9"/>
        <v>422559.0361926576</v>
      </c>
      <c r="R40" s="19"/>
      <c r="S40" s="95" t="str">
        <f t="shared" si="10"/>
        <v/>
      </c>
    </row>
    <row r="41" spans="1:19" ht="15.75" customHeight="1" x14ac:dyDescent="0.35">
      <c r="A41" s="82">
        <v>17</v>
      </c>
      <c r="B41" s="83">
        <f>$B$6+16</f>
        <v>81</v>
      </c>
      <c r="C41" s="84">
        <f t="shared" si="11"/>
        <v>393131.62808997754</v>
      </c>
      <c r="D41" s="85">
        <f t="shared" si="0"/>
        <v>7.0000000000000007E-2</v>
      </c>
      <c r="E41" s="84">
        <f t="shared" si="1"/>
        <v>27519.21396629843</v>
      </c>
      <c r="F41" s="84">
        <f t="shared" si="2"/>
        <v>20787.461160875559</v>
      </c>
      <c r="G41" s="86">
        <f t="shared" si="3"/>
        <v>386399.87528455467</v>
      </c>
      <c r="H41" s="19"/>
      <c r="I41" s="87">
        <f t="shared" si="12"/>
        <v>497476.82743050839</v>
      </c>
      <c r="J41" s="87">
        <f t="shared" si="4"/>
        <v>19899.073097220335</v>
      </c>
      <c r="K41" s="87">
        <f t="shared" si="5"/>
        <v>26736.000998504402</v>
      </c>
      <c r="L41" s="88">
        <f t="shared" si="6"/>
        <v>504313.75533179246</v>
      </c>
      <c r="M41" s="19"/>
      <c r="N41" s="89">
        <f t="shared" si="13"/>
        <v>422559.0361926576</v>
      </c>
      <c r="O41" s="89">
        <f t="shared" si="7"/>
        <v>21127.951809632883</v>
      </c>
      <c r="P41" s="89">
        <f t="shared" si="8"/>
        <v>22581.728315831264</v>
      </c>
      <c r="Q41" s="90">
        <f t="shared" si="9"/>
        <v>424012.812698856</v>
      </c>
      <c r="R41" s="19"/>
      <c r="S41" s="91" t="str">
        <f t="shared" si="10"/>
        <v/>
      </c>
    </row>
    <row r="42" spans="1:19" ht="15.75" customHeight="1" x14ac:dyDescent="0.35">
      <c r="A42" s="82">
        <v>18</v>
      </c>
      <c r="B42" s="83">
        <f>$B$6+17</f>
        <v>82</v>
      </c>
      <c r="C42" s="92">
        <f t="shared" si="11"/>
        <v>386399.87528455467</v>
      </c>
      <c r="D42" s="93">
        <f t="shared" si="0"/>
        <v>7.0000000000000007E-2</v>
      </c>
      <c r="E42" s="92">
        <f t="shared" si="1"/>
        <v>27047.991269918828</v>
      </c>
      <c r="F42" s="92">
        <f t="shared" si="2"/>
        <v>20430.173380727738</v>
      </c>
      <c r="G42" s="94">
        <f t="shared" si="3"/>
        <v>379782.05739536358</v>
      </c>
      <c r="H42" s="19"/>
      <c r="I42" s="87">
        <f t="shared" si="12"/>
        <v>504313.75533179246</v>
      </c>
      <c r="J42" s="87">
        <f t="shared" si="4"/>
        <v>20172.550213271697</v>
      </c>
      <c r="K42" s="87">
        <f t="shared" si="5"/>
        <v>27104.51141238361</v>
      </c>
      <c r="L42" s="88">
        <f t="shared" si="6"/>
        <v>511245.71653090441</v>
      </c>
      <c r="M42" s="19"/>
      <c r="N42" s="89">
        <f t="shared" si="13"/>
        <v>424012.812698856</v>
      </c>
      <c r="O42" s="89">
        <f t="shared" si="7"/>
        <v>21200.6406349428</v>
      </c>
      <c r="P42" s="89">
        <f t="shared" si="8"/>
        <v>22659.687080976149</v>
      </c>
      <c r="Q42" s="90">
        <f t="shared" si="9"/>
        <v>425471.85914488934</v>
      </c>
      <c r="R42" s="19"/>
      <c r="S42" s="95" t="str">
        <f t="shared" si="10"/>
        <v/>
      </c>
    </row>
    <row r="43" spans="1:19" ht="15.75" customHeight="1" x14ac:dyDescent="0.35">
      <c r="A43" s="82">
        <v>19</v>
      </c>
      <c r="B43" s="83">
        <f>$B$6+18</f>
        <v>83</v>
      </c>
      <c r="C43" s="84">
        <f t="shared" si="11"/>
        <v>379782.05739536358</v>
      </c>
      <c r="D43" s="85">
        <f t="shared" si="0"/>
        <v>7.0000000000000007E-2</v>
      </c>
      <c r="E43" s="84">
        <f t="shared" si="1"/>
        <v>26584.744017675454</v>
      </c>
      <c r="F43" s="84">
        <f t="shared" si="2"/>
        <v>20078.932696258926</v>
      </c>
      <c r="G43" s="86">
        <f t="shared" si="3"/>
        <v>373276.24607394706</v>
      </c>
      <c r="H43" s="19"/>
      <c r="I43" s="87">
        <f t="shared" si="12"/>
        <v>511245.71653090441</v>
      </c>
      <c r="J43" s="87">
        <f t="shared" si="4"/>
        <v>20449.828661236177</v>
      </c>
      <c r="K43" s="87">
        <f t="shared" si="5"/>
        <v>27478.144121015743</v>
      </c>
      <c r="L43" s="88">
        <f t="shared" si="6"/>
        <v>518274.03199068399</v>
      </c>
      <c r="M43" s="19"/>
      <c r="N43" s="89">
        <f t="shared" si="13"/>
        <v>425471.85914488934</v>
      </c>
      <c r="O43" s="89">
        <f t="shared" si="7"/>
        <v>21273.592957244469</v>
      </c>
      <c r="P43" s="89">
        <f t="shared" si="8"/>
        <v>22737.928446644688</v>
      </c>
      <c r="Q43" s="90">
        <f t="shared" si="9"/>
        <v>426936.19463428954</v>
      </c>
      <c r="R43" s="19"/>
      <c r="S43" s="91" t="str">
        <f t="shared" si="10"/>
        <v/>
      </c>
    </row>
    <row r="44" spans="1:19" ht="15.75" customHeight="1" x14ac:dyDescent="0.35">
      <c r="A44" s="82">
        <v>20</v>
      </c>
      <c r="B44" s="83">
        <f>$B$6+19</f>
        <v>84</v>
      </c>
      <c r="C44" s="92">
        <f t="shared" si="11"/>
        <v>373276.24607394706</v>
      </c>
      <c r="D44" s="93">
        <f t="shared" si="0"/>
        <v>7.0000000000000007E-2</v>
      </c>
      <c r="E44" s="92">
        <f t="shared" si="1"/>
        <v>26129.337225176296</v>
      </c>
      <c r="F44" s="92">
        <f t="shared" si="2"/>
        <v>19733.636760374742</v>
      </c>
      <c r="G44" s="94">
        <f t="shared" si="3"/>
        <v>366880.54560914554</v>
      </c>
      <c r="H44" s="19"/>
      <c r="I44" s="87">
        <f t="shared" si="12"/>
        <v>518274.03199068399</v>
      </c>
      <c r="J44" s="87">
        <f t="shared" si="4"/>
        <v>20730.961279627361</v>
      </c>
      <c r="K44" s="87">
        <f t="shared" si="5"/>
        <v>27856.970324297865</v>
      </c>
      <c r="L44" s="88">
        <f t="shared" si="6"/>
        <v>525400.04103535449</v>
      </c>
      <c r="M44" s="19"/>
      <c r="N44" s="89">
        <f t="shared" si="13"/>
        <v>426936.19463428954</v>
      </c>
      <c r="O44" s="89">
        <f t="shared" si="7"/>
        <v>21346.809731714478</v>
      </c>
      <c r="P44" s="89">
        <f t="shared" si="8"/>
        <v>22816.453437263775</v>
      </c>
      <c r="Q44" s="90">
        <f t="shared" si="9"/>
        <v>428405.83833983884</v>
      </c>
      <c r="R44" s="19"/>
      <c r="S44" s="95" t="str">
        <f t="shared" si="10"/>
        <v/>
      </c>
    </row>
    <row r="45" spans="1:19" ht="15.75" customHeight="1" x14ac:dyDescent="0.35">
      <c r="A45" s="82">
        <v>21</v>
      </c>
      <c r="B45" s="83">
        <f>$B$6+20</f>
        <v>85</v>
      </c>
      <c r="C45" s="84">
        <f t="shared" si="11"/>
        <v>366880.54560914554</v>
      </c>
      <c r="D45" s="85">
        <f t="shared" si="0"/>
        <v>0.09</v>
      </c>
      <c r="E45" s="84">
        <f t="shared" si="1"/>
        <v>33019.249104823095</v>
      </c>
      <c r="F45" s="84">
        <f t="shared" si="2"/>
        <v>19192.400658120372</v>
      </c>
      <c r="G45" s="86">
        <f t="shared" si="3"/>
        <v>353053.69716244284</v>
      </c>
      <c r="H45" s="19"/>
      <c r="I45" s="87">
        <f t="shared" si="12"/>
        <v>525400.04103535449</v>
      </c>
      <c r="J45" s="87">
        <f t="shared" si="4"/>
        <v>21016.001641414179</v>
      </c>
      <c r="K45" s="87">
        <f t="shared" si="5"/>
        <v>28241.062211805605</v>
      </c>
      <c r="L45" s="88">
        <f t="shared" si="6"/>
        <v>532625.10160574596</v>
      </c>
      <c r="M45" s="19"/>
      <c r="N45" s="89">
        <f t="shared" si="13"/>
        <v>428405.83833983884</v>
      </c>
      <c r="O45" s="89">
        <f t="shared" si="7"/>
        <v>21420.291916991944</v>
      </c>
      <c r="P45" s="89">
        <f t="shared" si="8"/>
        <v>22895.263080973858</v>
      </c>
      <c r="Q45" s="90">
        <f t="shared" si="9"/>
        <v>429880.80950382078</v>
      </c>
      <c r="R45" s="19"/>
      <c r="S45" s="91" t="str">
        <f t="shared" si="10"/>
        <v/>
      </c>
    </row>
    <row r="46" spans="1:19" ht="15.75" customHeight="1" x14ac:dyDescent="0.35">
      <c r="A46" s="82">
        <v>22</v>
      </c>
      <c r="B46" s="83">
        <f>$B$6+21</f>
        <v>86</v>
      </c>
      <c r="C46" s="92">
        <f t="shared" si="11"/>
        <v>353053.69716244284</v>
      </c>
      <c r="D46" s="93">
        <f t="shared" si="0"/>
        <v>0.09</v>
      </c>
      <c r="E46" s="92">
        <f t="shared" si="1"/>
        <v>31774.832744619853</v>
      </c>
      <c r="F46" s="92">
        <f t="shared" si="2"/>
        <v>18466.14544345731</v>
      </c>
      <c r="G46" s="94">
        <f t="shared" si="3"/>
        <v>339745.00986128027</v>
      </c>
      <c r="H46" s="19"/>
      <c r="I46" s="87">
        <f t="shared" si="12"/>
        <v>532625.10160574596</v>
      </c>
      <c r="J46" s="87">
        <f t="shared" si="4"/>
        <v>21305.004064229837</v>
      </c>
      <c r="K46" s="87">
        <f t="shared" si="5"/>
        <v>28630.492976549707</v>
      </c>
      <c r="L46" s="88">
        <f t="shared" si="6"/>
        <v>539950.59051806584</v>
      </c>
      <c r="M46" s="19"/>
      <c r="N46" s="89">
        <f t="shared" si="13"/>
        <v>429880.80950382078</v>
      </c>
      <c r="O46" s="89">
        <f t="shared" si="7"/>
        <v>21494.040475191039</v>
      </c>
      <c r="P46" s="89">
        <f t="shared" si="8"/>
        <v>22974.358409642387</v>
      </c>
      <c r="Q46" s="90">
        <f t="shared" si="9"/>
        <v>431361.12743827212</v>
      </c>
      <c r="R46" s="19"/>
      <c r="S46" s="95" t="str">
        <f t="shared" si="10"/>
        <v/>
      </c>
    </row>
    <row r="47" spans="1:19" ht="15.75" customHeight="1" x14ac:dyDescent="0.35">
      <c r="A47" s="82">
        <v>23</v>
      </c>
      <c r="B47" s="83">
        <f>$B$6+22</f>
        <v>87</v>
      </c>
      <c r="C47" s="84">
        <f t="shared" si="11"/>
        <v>339745.00986128027</v>
      </c>
      <c r="D47" s="85">
        <f t="shared" si="0"/>
        <v>0.09</v>
      </c>
      <c r="E47" s="84">
        <f t="shared" si="1"/>
        <v>30577.050887515223</v>
      </c>
      <c r="F47" s="84">
        <f t="shared" si="2"/>
        <v>17767.106642963747</v>
      </c>
      <c r="G47" s="86">
        <f t="shared" si="3"/>
        <v>326935.0656167288</v>
      </c>
      <c r="H47" s="19"/>
      <c r="I47" s="87">
        <f t="shared" si="12"/>
        <v>539950.59051806584</v>
      </c>
      <c r="J47" s="87">
        <f t="shared" si="4"/>
        <v>21598.023620722633</v>
      </c>
      <c r="K47" s="87">
        <f t="shared" si="5"/>
        <v>29025.336828923748</v>
      </c>
      <c r="L47" s="88">
        <f t="shared" si="6"/>
        <v>547377.90372626693</v>
      </c>
      <c r="M47" s="19"/>
      <c r="N47" s="89">
        <f t="shared" si="13"/>
        <v>431361.12743827212</v>
      </c>
      <c r="O47" s="89">
        <f t="shared" si="7"/>
        <v>21568.056371913608</v>
      </c>
      <c r="P47" s="89">
        <f t="shared" si="8"/>
        <v>23053.740458877339</v>
      </c>
      <c r="Q47" s="90">
        <f t="shared" si="9"/>
        <v>432846.81152523588</v>
      </c>
      <c r="R47" s="19"/>
      <c r="S47" s="91" t="str">
        <f t="shared" si="10"/>
        <v/>
      </c>
    </row>
    <row r="48" spans="1:19" ht="15.75" customHeight="1" x14ac:dyDescent="0.35">
      <c r="A48" s="82">
        <v>24</v>
      </c>
      <c r="B48" s="83">
        <f>$B$6+23</f>
        <v>88</v>
      </c>
      <c r="C48" s="92">
        <f t="shared" si="11"/>
        <v>326935.0656167288</v>
      </c>
      <c r="D48" s="93">
        <f t="shared" si="0"/>
        <v>0.09</v>
      </c>
      <c r="E48" s="92">
        <f t="shared" si="1"/>
        <v>29424.155905505591</v>
      </c>
      <c r="F48" s="92">
        <f t="shared" si="2"/>
        <v>17094.26432151868</v>
      </c>
      <c r="G48" s="94">
        <f t="shared" si="3"/>
        <v>314605.17403274187</v>
      </c>
      <c r="H48" s="19"/>
      <c r="I48" s="87">
        <f t="shared" si="12"/>
        <v>547377.90372626693</v>
      </c>
      <c r="J48" s="87">
        <f t="shared" si="4"/>
        <v>21895.116149050678</v>
      </c>
      <c r="K48" s="87">
        <f t="shared" si="5"/>
        <v>29425.669010845788</v>
      </c>
      <c r="L48" s="88">
        <f t="shared" si="6"/>
        <v>554908.45658806211</v>
      </c>
      <c r="M48" s="19"/>
      <c r="N48" s="89">
        <f t="shared" si="13"/>
        <v>432846.81152523588</v>
      </c>
      <c r="O48" s="89">
        <f t="shared" si="7"/>
        <v>21642.340576261795</v>
      </c>
      <c r="P48" s="89">
        <f t="shared" si="8"/>
        <v>23133.410268040778</v>
      </c>
      <c r="Q48" s="90">
        <f t="shared" si="9"/>
        <v>434337.88121701486</v>
      </c>
      <c r="R48" s="19"/>
      <c r="S48" s="95" t="str">
        <f t="shared" si="10"/>
        <v/>
      </c>
    </row>
    <row r="49" spans="1:19" ht="15.75" customHeight="1" x14ac:dyDescent="0.35">
      <c r="A49" s="82">
        <v>25</v>
      </c>
      <c r="B49" s="83">
        <f>$B$6+24</f>
        <v>89</v>
      </c>
      <c r="C49" s="84">
        <f t="shared" si="11"/>
        <v>314605.17403274187</v>
      </c>
      <c r="D49" s="85">
        <f t="shared" si="0"/>
        <v>0.09</v>
      </c>
      <c r="E49" s="84">
        <f t="shared" si="1"/>
        <v>28314.465662946768</v>
      </c>
      <c r="F49" s="84">
        <f t="shared" si="2"/>
        <v>16446.636766069765</v>
      </c>
      <c r="G49" s="86">
        <f t="shared" si="3"/>
        <v>302737.34513586486</v>
      </c>
      <c r="H49" s="19"/>
      <c r="I49" s="87">
        <f t="shared" si="12"/>
        <v>554908.45658806211</v>
      </c>
      <c r="J49" s="87">
        <f t="shared" si="4"/>
        <v>22196.338263522484</v>
      </c>
      <c r="K49" s="87">
        <f t="shared" si="5"/>
        <v>29831.565810096541</v>
      </c>
      <c r="L49" s="88">
        <f t="shared" si="6"/>
        <v>562543.68413463619</v>
      </c>
      <c r="M49" s="19"/>
      <c r="N49" s="89">
        <f t="shared" si="13"/>
        <v>434337.88121701486</v>
      </c>
      <c r="O49" s="89">
        <f t="shared" si="7"/>
        <v>21716.894060850744</v>
      </c>
      <c r="P49" s="89">
        <f t="shared" si="8"/>
        <v>23213.36888026242</v>
      </c>
      <c r="Q49" s="90">
        <f t="shared" si="9"/>
        <v>435834.35603642656</v>
      </c>
      <c r="R49" s="19"/>
      <c r="S49" s="91" t="str">
        <f t="shared" si="10"/>
        <v/>
      </c>
    </row>
    <row r="50" spans="1:19" ht="15.75" customHeight="1" x14ac:dyDescent="0.35">
      <c r="A50" s="82">
        <v>26</v>
      </c>
      <c r="B50" s="83">
        <f>$B$6+25</f>
        <v>90</v>
      </c>
      <c r="C50" s="92">
        <f t="shared" si="11"/>
        <v>302737.34513586486</v>
      </c>
      <c r="D50" s="93">
        <f t="shared" si="0"/>
        <v>0.11</v>
      </c>
      <c r="E50" s="92">
        <f t="shared" si="1"/>
        <v>33301.107964945135</v>
      </c>
      <c r="F50" s="92">
        <f t="shared" si="2"/>
        <v>15656.773513436578</v>
      </c>
      <c r="G50" s="94">
        <f t="shared" si="3"/>
        <v>285093.01068435627</v>
      </c>
      <c r="H50" s="19"/>
      <c r="I50" s="87">
        <f t="shared" si="12"/>
        <v>562543.68413463619</v>
      </c>
      <c r="J50" s="87">
        <f t="shared" si="4"/>
        <v>22501.747365385447</v>
      </c>
      <c r="K50" s="87">
        <f t="shared" si="5"/>
        <v>30243.104574856887</v>
      </c>
      <c r="L50" s="88">
        <f t="shared" si="6"/>
        <v>570285.04134410771</v>
      </c>
      <c r="M50" s="19"/>
      <c r="N50" s="89">
        <f t="shared" si="13"/>
        <v>435834.35603642656</v>
      </c>
      <c r="O50" s="89">
        <f t="shared" si="7"/>
        <v>21791.717801821331</v>
      </c>
      <c r="P50" s="89">
        <f t="shared" si="8"/>
        <v>23293.617342453374</v>
      </c>
      <c r="Q50" s="90">
        <f t="shared" si="9"/>
        <v>437336.25557705859</v>
      </c>
      <c r="R50" s="19"/>
      <c r="S50" s="95" t="str">
        <f t="shared" si="10"/>
        <v/>
      </c>
    </row>
    <row r="51" spans="1:19" ht="15.75" customHeight="1" x14ac:dyDescent="0.35">
      <c r="A51" s="82">
        <v>27</v>
      </c>
      <c r="B51" s="83">
        <f>$B$6+26</f>
        <v>91</v>
      </c>
      <c r="C51" s="84">
        <f t="shared" si="11"/>
        <v>285093.01068435627</v>
      </c>
      <c r="D51" s="85">
        <f t="shared" si="0"/>
        <v>0.11</v>
      </c>
      <c r="E51" s="84">
        <f t="shared" si="1"/>
        <v>31360.23117527919</v>
      </c>
      <c r="F51" s="84">
        <f t="shared" si="2"/>
        <v>14739.709230319415</v>
      </c>
      <c r="G51" s="86">
        <f t="shared" si="3"/>
        <v>268472.4887393965</v>
      </c>
      <c r="H51" s="19"/>
      <c r="I51" s="87">
        <f t="shared" si="12"/>
        <v>570285.04134410771</v>
      </c>
      <c r="J51" s="87">
        <f t="shared" si="4"/>
        <v>22811.401653764307</v>
      </c>
      <c r="K51" s="87">
        <f t="shared" si="5"/>
        <v>30660.363728447403</v>
      </c>
      <c r="L51" s="88">
        <f t="shared" si="6"/>
        <v>578134.00341879076</v>
      </c>
      <c r="M51" s="19"/>
      <c r="N51" s="89">
        <f t="shared" si="13"/>
        <v>437336.25557705859</v>
      </c>
      <c r="O51" s="89">
        <f t="shared" si="7"/>
        <v>21866.812778852931</v>
      </c>
      <c r="P51" s="89">
        <f t="shared" si="8"/>
        <v>23374.156705319769</v>
      </c>
      <c r="Q51" s="90">
        <f t="shared" si="9"/>
        <v>438843.59950352542</v>
      </c>
      <c r="R51" s="19"/>
      <c r="S51" s="91" t="str">
        <f t="shared" si="10"/>
        <v/>
      </c>
    </row>
    <row r="52" spans="1:19" ht="15.75" customHeight="1" x14ac:dyDescent="0.35">
      <c r="A52" s="82">
        <v>28</v>
      </c>
      <c r="B52" s="83">
        <f>$B$6+27</f>
        <v>92</v>
      </c>
      <c r="C52" s="92">
        <f t="shared" si="11"/>
        <v>268472.4887393965</v>
      </c>
      <c r="D52" s="93">
        <f t="shared" si="0"/>
        <v>0.11</v>
      </c>
      <c r="E52" s="92">
        <f t="shared" si="1"/>
        <v>29531.973761333615</v>
      </c>
      <c r="F52" s="92">
        <f t="shared" si="2"/>
        <v>13875.857602230131</v>
      </c>
      <c r="G52" s="94">
        <f t="shared" si="3"/>
        <v>252816.37258029301</v>
      </c>
      <c r="H52" s="19"/>
      <c r="I52" s="87">
        <f t="shared" si="12"/>
        <v>578134.00341879076</v>
      </c>
      <c r="J52" s="87">
        <f t="shared" si="4"/>
        <v>23125.360136751631</v>
      </c>
      <c r="K52" s="87">
        <f t="shared" si="5"/>
        <v>31083.422784272821</v>
      </c>
      <c r="L52" s="88">
        <f t="shared" si="6"/>
        <v>586092.06606631191</v>
      </c>
      <c r="M52" s="19"/>
      <c r="N52" s="89">
        <f t="shared" si="13"/>
        <v>438843.59950352542</v>
      </c>
      <c r="O52" s="89">
        <f t="shared" si="7"/>
        <v>21942.179975176274</v>
      </c>
      <c r="P52" s="89">
        <f t="shared" si="8"/>
        <v>23454.988023376551</v>
      </c>
      <c r="Q52" s="90">
        <f t="shared" si="9"/>
        <v>440356.40755172569</v>
      </c>
      <c r="R52" s="19"/>
      <c r="S52" s="95" t="str">
        <f t="shared" si="10"/>
        <v/>
      </c>
    </row>
    <row r="53" spans="1:19" ht="15.75" customHeight="1" x14ac:dyDescent="0.35">
      <c r="A53" s="82">
        <v>29</v>
      </c>
      <c r="B53" s="83">
        <f>$B$6+28</f>
        <v>93</v>
      </c>
      <c r="C53" s="84">
        <f t="shared" si="11"/>
        <v>252816.37258029301</v>
      </c>
      <c r="D53" s="85">
        <f t="shared" si="0"/>
        <v>0.11</v>
      </c>
      <c r="E53" s="84">
        <f t="shared" si="1"/>
        <v>27809.800983832232</v>
      </c>
      <c r="F53" s="84">
        <f t="shared" si="2"/>
        <v>13062.130964860729</v>
      </c>
      <c r="G53" s="86">
        <f t="shared" si="3"/>
        <v>238068.70256132149</v>
      </c>
      <c r="H53" s="19"/>
      <c r="I53" s="87">
        <f t="shared" si="12"/>
        <v>586092.06606631191</v>
      </c>
      <c r="J53" s="87">
        <f t="shared" si="4"/>
        <v>23443.682642652475</v>
      </c>
      <c r="K53" s="87">
        <f t="shared" si="5"/>
        <v>31512.36236097421</v>
      </c>
      <c r="L53" s="88">
        <f t="shared" si="6"/>
        <v>594160.74578463368</v>
      </c>
      <c r="M53" s="19"/>
      <c r="N53" s="89">
        <f t="shared" si="13"/>
        <v>440356.40755172569</v>
      </c>
      <c r="O53" s="89">
        <f t="shared" si="7"/>
        <v>22017.820377586286</v>
      </c>
      <c r="P53" s="89">
        <f t="shared" si="8"/>
        <v>23536.112354961289</v>
      </c>
      <c r="Q53" s="90">
        <f t="shared" si="9"/>
        <v>441874.69952910068</v>
      </c>
      <c r="R53" s="19"/>
      <c r="S53" s="91" t="str">
        <f t="shared" si="10"/>
        <v/>
      </c>
    </row>
    <row r="54" spans="1:19" ht="15.75" customHeight="1" x14ac:dyDescent="0.35">
      <c r="A54" s="82">
        <v>30</v>
      </c>
      <c r="B54" s="83">
        <f>$B$6+29</f>
        <v>94</v>
      </c>
      <c r="C54" s="92">
        <f t="shared" si="11"/>
        <v>238068.70256132149</v>
      </c>
      <c r="D54" s="93">
        <f t="shared" si="0"/>
        <v>0.11</v>
      </c>
      <c r="E54" s="92">
        <f t="shared" si="1"/>
        <v>26187.557281745365</v>
      </c>
      <c r="F54" s="92">
        <f t="shared" si="2"/>
        <v>12295.620815624685</v>
      </c>
      <c r="G54" s="94">
        <f t="shared" si="3"/>
        <v>224176.76609520082</v>
      </c>
      <c r="H54" s="19"/>
      <c r="I54" s="87">
        <f t="shared" si="12"/>
        <v>594160.74578463368</v>
      </c>
      <c r="J54" s="87">
        <f t="shared" si="4"/>
        <v>23766.429831385347</v>
      </c>
      <c r="K54" s="87">
        <f t="shared" si="5"/>
        <v>31947.264197791752</v>
      </c>
      <c r="L54" s="88">
        <f t="shared" si="6"/>
        <v>602341.58015104011</v>
      </c>
      <c r="M54" s="19"/>
      <c r="N54" s="89">
        <f t="shared" si="13"/>
        <v>441874.69952910068</v>
      </c>
      <c r="O54" s="89">
        <f t="shared" si="7"/>
        <v>22093.734976455034</v>
      </c>
      <c r="P54" s="89">
        <f t="shared" si="8"/>
        <v>23617.530762248025</v>
      </c>
      <c r="Q54" s="90">
        <f t="shared" si="9"/>
        <v>443398.49531489366</v>
      </c>
      <c r="R54" s="19"/>
      <c r="S54" s="95" t="str">
        <f t="shared" si="10"/>
        <v/>
      </c>
    </row>
    <row r="55" spans="1:19" ht="15.75" customHeight="1" x14ac:dyDescent="0.35">
      <c r="A55" s="82">
        <v>31</v>
      </c>
      <c r="B55" s="83">
        <f>$B$6+30</f>
        <v>95</v>
      </c>
      <c r="C55" s="84">
        <f t="shared" si="11"/>
        <v>224176.76609520082</v>
      </c>
      <c r="D55" s="85">
        <f t="shared" si="0"/>
        <v>0.14000000000000001</v>
      </c>
      <c r="E55" s="84">
        <f t="shared" si="1"/>
        <v>31384.747253328118</v>
      </c>
      <c r="F55" s="84">
        <f t="shared" si="2"/>
        <v>11388.641585769523</v>
      </c>
      <c r="G55" s="86">
        <f t="shared" si="3"/>
        <v>204180.6604276422</v>
      </c>
      <c r="H55" s="19"/>
      <c r="I55" s="87">
        <f t="shared" si="12"/>
        <v>602341.58015104011</v>
      </c>
      <c r="J55" s="87">
        <f t="shared" si="4"/>
        <v>24093.663206041605</v>
      </c>
      <c r="K55" s="87">
        <f t="shared" si="5"/>
        <v>32388.211170141061</v>
      </c>
      <c r="L55" s="88">
        <f t="shared" si="6"/>
        <v>610636.12811513967</v>
      </c>
      <c r="M55" s="19"/>
      <c r="N55" s="89">
        <f t="shared" si="13"/>
        <v>443398.49531489366</v>
      </c>
      <c r="O55" s="89">
        <f t="shared" si="7"/>
        <v>22169.924765744683</v>
      </c>
      <c r="P55" s="89">
        <f t="shared" si="8"/>
        <v>23699.244311261173</v>
      </c>
      <c r="Q55" s="90">
        <f t="shared" si="9"/>
        <v>444927.81486041012</v>
      </c>
      <c r="R55" s="19"/>
      <c r="S55" s="91" t="str">
        <f t="shared" si="10"/>
        <v/>
      </c>
    </row>
    <row r="56" spans="1:19" ht="15.75" customHeight="1" x14ac:dyDescent="0.35">
      <c r="A56" s="82">
        <v>32</v>
      </c>
      <c r="B56" s="83">
        <f>$B$6+31</f>
        <v>96</v>
      </c>
      <c r="C56" s="92">
        <f t="shared" si="11"/>
        <v>204180.6604276422</v>
      </c>
      <c r="D56" s="93">
        <f t="shared" si="0"/>
        <v>0.14000000000000001</v>
      </c>
      <c r="E56" s="92">
        <f t="shared" si="1"/>
        <v>28585.29245986991</v>
      </c>
      <c r="F56" s="92">
        <f t="shared" si="2"/>
        <v>10365.840780873898</v>
      </c>
      <c r="G56" s="94">
        <f t="shared" si="3"/>
        <v>185961.2087486462</v>
      </c>
      <c r="H56" s="19"/>
      <c r="I56" s="87">
        <f t="shared" si="12"/>
        <v>610636.12811513967</v>
      </c>
      <c r="J56" s="87">
        <f t="shared" si="4"/>
        <v>24425.445124605587</v>
      </c>
      <c r="K56" s="87">
        <f t="shared" si="5"/>
        <v>32835.287305406018</v>
      </c>
      <c r="L56" s="88">
        <f t="shared" si="6"/>
        <v>619045.97029594018</v>
      </c>
      <c r="M56" s="19"/>
      <c r="N56" s="89">
        <f t="shared" si="13"/>
        <v>444927.81486041012</v>
      </c>
      <c r="O56" s="89">
        <f t="shared" si="7"/>
        <v>22246.390743020507</v>
      </c>
      <c r="P56" s="89">
        <f t="shared" si="8"/>
        <v>23781.254071889492</v>
      </c>
      <c r="Q56" s="90">
        <f t="shared" si="9"/>
        <v>446462.6781892791</v>
      </c>
      <c r="R56" s="19"/>
      <c r="S56" s="95" t="str">
        <f t="shared" si="10"/>
        <v/>
      </c>
    </row>
    <row r="57" spans="1:19" ht="15.75" customHeight="1" x14ac:dyDescent="0.35">
      <c r="A57" s="82">
        <v>33</v>
      </c>
      <c r="B57" s="83">
        <f>$B$6+32</f>
        <v>97</v>
      </c>
      <c r="C57" s="84">
        <f t="shared" si="11"/>
        <v>185961.2087486462</v>
      </c>
      <c r="D57" s="85">
        <f t="shared" si="0"/>
        <v>0.14000000000000001</v>
      </c>
      <c r="E57" s="84">
        <f t="shared" si="1"/>
        <v>26034.569224810471</v>
      </c>
      <c r="F57" s="84">
        <f t="shared" si="2"/>
        <v>9433.9158274932543</v>
      </c>
      <c r="G57" s="86">
        <f t="shared" si="3"/>
        <v>169360.55535132898</v>
      </c>
      <c r="H57" s="19"/>
      <c r="I57" s="87">
        <f t="shared" si="12"/>
        <v>619045.97029594018</v>
      </c>
      <c r="J57" s="87">
        <f t="shared" si="4"/>
        <v>24761.838811837606</v>
      </c>
      <c r="K57" s="87">
        <f t="shared" si="5"/>
        <v>33288.57779895117</v>
      </c>
      <c r="L57" s="88">
        <f t="shared" si="6"/>
        <v>627572.70928305376</v>
      </c>
      <c r="M57" s="19"/>
      <c r="N57" s="89">
        <f t="shared" si="13"/>
        <v>446462.6781892791</v>
      </c>
      <c r="O57" s="89">
        <f t="shared" si="7"/>
        <v>22323.133909463955</v>
      </c>
      <c r="P57" s="89">
        <f t="shared" si="8"/>
        <v>23863.561117900092</v>
      </c>
      <c r="Q57" s="90">
        <f t="shared" si="9"/>
        <v>448003.10539771523</v>
      </c>
      <c r="R57" s="19"/>
      <c r="S57" s="91" t="str">
        <f t="shared" si="10"/>
        <v/>
      </c>
    </row>
    <row r="58" spans="1:19" ht="15.75" customHeight="1" x14ac:dyDescent="0.35">
      <c r="A58" s="82">
        <v>34</v>
      </c>
      <c r="B58" s="83">
        <f>$B$6+33</f>
        <v>98</v>
      </c>
      <c r="C58" s="92">
        <f t="shared" si="11"/>
        <v>169360.55535132898</v>
      </c>
      <c r="D58" s="93">
        <f t="shared" si="0"/>
        <v>0.14000000000000001</v>
      </c>
      <c r="E58" s="92">
        <f t="shared" si="1"/>
        <v>23710.477749186059</v>
      </c>
      <c r="F58" s="92">
        <f t="shared" si="2"/>
        <v>8584.7924062204766</v>
      </c>
      <c r="G58" s="94">
        <f t="shared" si="3"/>
        <v>154234.87000836342</v>
      </c>
      <c r="H58" s="19"/>
      <c r="I58" s="87">
        <f t="shared" si="12"/>
        <v>627572.70928305376</v>
      </c>
      <c r="J58" s="87">
        <f t="shared" si="4"/>
        <v>25102.908371322152</v>
      </c>
      <c r="K58" s="87">
        <f t="shared" si="5"/>
        <v>33748.169030356599</v>
      </c>
      <c r="L58" s="88">
        <f t="shared" si="6"/>
        <v>636217.96994208812</v>
      </c>
      <c r="M58" s="19"/>
      <c r="N58" s="89">
        <f t="shared" si="13"/>
        <v>448003.10539771523</v>
      </c>
      <c r="O58" s="89">
        <f t="shared" si="7"/>
        <v>22400.155269885763</v>
      </c>
      <c r="P58" s="89">
        <f t="shared" si="8"/>
        <v>23946.166526952478</v>
      </c>
      <c r="Q58" s="90">
        <f t="shared" si="9"/>
        <v>449549.11665478192</v>
      </c>
      <c r="R58" s="19"/>
      <c r="S58" s="95" t="str">
        <f t="shared" si="10"/>
        <v/>
      </c>
    </row>
    <row r="59" spans="1:19" ht="15.75" customHeight="1" x14ac:dyDescent="0.35">
      <c r="A59" s="82">
        <v>35</v>
      </c>
      <c r="B59" s="83">
        <f>$B$6+34</f>
        <v>99</v>
      </c>
      <c r="C59" s="84">
        <f t="shared" si="11"/>
        <v>154234.87000836342</v>
      </c>
      <c r="D59" s="85">
        <f t="shared" si="0"/>
        <v>0.14000000000000001</v>
      </c>
      <c r="E59" s="84">
        <f t="shared" si="1"/>
        <v>21592.881801170879</v>
      </c>
      <c r="F59" s="84">
        <f t="shared" si="2"/>
        <v>7811.113600927788</v>
      </c>
      <c r="G59" s="86">
        <f t="shared" si="3"/>
        <v>140453.10180812032</v>
      </c>
      <c r="H59" s="19"/>
      <c r="I59" s="87">
        <f t="shared" si="12"/>
        <v>636217.96994208812</v>
      </c>
      <c r="J59" s="87">
        <f t="shared" si="4"/>
        <v>25448.718797683527</v>
      </c>
      <c r="K59" s="87">
        <f t="shared" si="5"/>
        <v>34214.148579878543</v>
      </c>
      <c r="L59" s="88">
        <f t="shared" si="6"/>
        <v>644983.39972428314</v>
      </c>
      <c r="M59" s="19"/>
      <c r="N59" s="89">
        <f t="shared" si="13"/>
        <v>449549.11665478192</v>
      </c>
      <c r="O59" s="89">
        <f t="shared" si="7"/>
        <v>22477.455832739099</v>
      </c>
      <c r="P59" s="89">
        <f t="shared" si="8"/>
        <v>24029.071380612677</v>
      </c>
      <c r="Q59" s="90">
        <f t="shared" si="9"/>
        <v>451100.73220265552</v>
      </c>
      <c r="R59" s="19"/>
      <c r="S59" s="91" t="str">
        <f t="shared" si="10"/>
        <v/>
      </c>
    </row>
    <row r="60" spans="1:19" ht="15.75" customHeight="1" x14ac:dyDescent="0.35">
      <c r="A60" s="82">
        <v>36</v>
      </c>
      <c r="B60" s="83">
        <f>$B$6+35</f>
        <v>100</v>
      </c>
      <c r="C60" s="92">
        <f t="shared" si="11"/>
        <v>140453.10180812032</v>
      </c>
      <c r="D60" s="93">
        <f t="shared" si="0"/>
        <v>0.14000000000000001</v>
      </c>
      <c r="E60" s="92">
        <f t="shared" si="1"/>
        <v>19663.434253136846</v>
      </c>
      <c r="F60" s="92">
        <f t="shared" si="2"/>
        <v>7106.1761574853535</v>
      </c>
      <c r="G60" s="94">
        <f t="shared" si="3"/>
        <v>127895.84371246884</v>
      </c>
      <c r="H60" s="19"/>
      <c r="I60" s="87">
        <f t="shared" si="12"/>
        <v>644983.39972428314</v>
      </c>
      <c r="J60" s="87">
        <f t="shared" si="4"/>
        <v>25799.335988971325</v>
      </c>
      <c r="K60" s="87">
        <f t="shared" si="5"/>
        <v>34686.605245138853</v>
      </c>
      <c r="L60" s="88">
        <f t="shared" si="6"/>
        <v>653870.66898045072</v>
      </c>
      <c r="M60" s="19"/>
      <c r="N60" s="89">
        <f t="shared" si="13"/>
        <v>451100.73220265552</v>
      </c>
      <c r="O60" s="89">
        <f t="shared" si="7"/>
        <v>22555.036610132778</v>
      </c>
      <c r="P60" s="89">
        <f t="shared" si="8"/>
        <v>24112.276764367398</v>
      </c>
      <c r="Q60" s="90">
        <f t="shared" si="9"/>
        <v>452657.97235689015</v>
      </c>
      <c r="R60" s="19"/>
      <c r="S60" s="95" t="str">
        <f t="shared" si="10"/>
        <v/>
      </c>
    </row>
    <row r="61" spans="1:19" ht="19.5" customHeight="1" x14ac:dyDescent="0.35">
      <c r="A61" s="78" t="s">
        <v>355</v>
      </c>
      <c r="B61" s="78"/>
      <c r="C61" s="96" t="s">
        <v>356</v>
      </c>
      <c r="D61" s="97"/>
      <c r="E61" s="58">
        <f>SUM(E25:E60)</f>
        <v>913165.3033369726</v>
      </c>
      <c r="F61" s="58">
        <f>SUM(F25:F60)</f>
        <v>641061.14704944135</v>
      </c>
      <c r="G61" s="98"/>
      <c r="H61" s="44"/>
      <c r="I61" s="99">
        <f>SUM(I25:I60)</f>
        <v>18466091.293557581</v>
      </c>
      <c r="J61" s="99">
        <f>SUM(J25:J60)</f>
        <v>738643.65174230305</v>
      </c>
      <c r="K61" s="99">
        <f>SUM(K25:K60)</f>
        <v>992514.32072275365</v>
      </c>
      <c r="L61" s="100"/>
      <c r="M61" s="44"/>
      <c r="N61" s="99">
        <f>SUM(N25:N60)</f>
        <v>15300957.891555943</v>
      </c>
      <c r="O61" s="99">
        <f>SUM(O25:O60)</f>
        <v>765047.89457779715</v>
      </c>
      <c r="P61" s="99">
        <f>SUM(P25:P60)</f>
        <v>817705.86693468748</v>
      </c>
      <c r="Q61" s="101"/>
      <c r="R61" s="44"/>
      <c r="S61" s="97"/>
    </row>
    <row r="62" spans="1:19" ht="7.5" customHeight="1" x14ac:dyDescent="0.35"/>
    <row r="63" spans="1:19" ht="19.5" customHeight="1" x14ac:dyDescent="0.35">
      <c r="A63" s="12" t="s">
        <v>357</v>
      </c>
      <c r="B63" s="12"/>
      <c r="C63" s="12"/>
      <c r="D63" s="12"/>
      <c r="E63" s="12"/>
      <c r="F63" s="12"/>
      <c r="G63" s="12"/>
      <c r="H63" s="12"/>
      <c r="I63" s="12"/>
      <c r="J63" s="12"/>
      <c r="K63" s="12"/>
      <c r="L63" s="12"/>
      <c r="M63" s="12"/>
      <c r="N63" s="12"/>
      <c r="O63" s="12"/>
      <c r="P63" s="12"/>
      <c r="Q63" s="12"/>
      <c r="R63" s="12"/>
      <c r="S63" s="12"/>
    </row>
    <row r="88" spans="1:19" ht="39.75" customHeight="1" x14ac:dyDescent="0.35">
      <c r="A88" s="2" t="s">
        <v>358</v>
      </c>
      <c r="B88" s="2"/>
      <c r="C88" s="2"/>
      <c r="D88" s="2"/>
      <c r="E88" s="2"/>
      <c r="F88" s="2"/>
      <c r="G88" s="2"/>
      <c r="H88" s="2"/>
      <c r="I88" s="2"/>
      <c r="J88" s="2"/>
      <c r="K88" s="2"/>
      <c r="L88" s="2"/>
      <c r="M88" s="2"/>
      <c r="N88" s="2"/>
      <c r="O88" s="2"/>
      <c r="P88" s="2"/>
      <c r="Q88" s="2"/>
      <c r="R88" s="2"/>
      <c r="S88" s="2"/>
    </row>
  </sheetData>
  <mergeCells count="39">
    <mergeCell ref="I23:L23"/>
    <mergeCell ref="N23:Q23"/>
    <mergeCell ref="A63:S63"/>
    <mergeCell ref="A88:S88"/>
    <mergeCell ref="C18:G18"/>
    <mergeCell ref="C19:G19"/>
    <mergeCell ref="C20:G20"/>
    <mergeCell ref="C21:G21"/>
    <mergeCell ref="C23:G23"/>
    <mergeCell ref="A13:G13"/>
    <mergeCell ref="C14:G14"/>
    <mergeCell ref="C15:G15"/>
    <mergeCell ref="C16:G16"/>
    <mergeCell ref="C17:G17"/>
    <mergeCell ref="C10:G10"/>
    <mergeCell ref="I10:O10"/>
    <mergeCell ref="P10:S10"/>
    <mergeCell ref="C11:G11"/>
    <mergeCell ref="I11:O11"/>
    <mergeCell ref="P11:S11"/>
    <mergeCell ref="C8:G8"/>
    <mergeCell ref="I8:O8"/>
    <mergeCell ref="P8:S8"/>
    <mergeCell ref="C9:G9"/>
    <mergeCell ref="I9:O9"/>
    <mergeCell ref="P9:S9"/>
    <mergeCell ref="C6:G6"/>
    <mergeCell ref="I6:O6"/>
    <mergeCell ref="P6:S6"/>
    <mergeCell ref="C7:G7"/>
    <mergeCell ref="I7:O7"/>
    <mergeCell ref="P7:S7"/>
    <mergeCell ref="A1:T1"/>
    <mergeCell ref="A2:T2"/>
    <mergeCell ref="A4:G4"/>
    <mergeCell ref="I4:S4"/>
    <mergeCell ref="C5:G5"/>
    <mergeCell ref="I5:O5"/>
    <mergeCell ref="P5:S5"/>
  </mergeCells>
  <pageMargins left="0.75" right="0.75" top="1" bottom="1" header="0.511811023622047" footer="0.511811023622047"/>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A8C6B"/>
  </sheetPr>
  <dimension ref="A1:H33"/>
  <sheetViews>
    <sheetView showGridLines="0" zoomScaleNormal="100" workbookViewId="0">
      <pane xSplit="2" ySplit="3" topLeftCell="C4" activePane="bottomRight" state="frozen"/>
      <selection pane="topRight" activeCell="C1" sqref="C1"/>
      <selection pane="bottomLeft" activeCell="A4" sqref="A4"/>
      <selection pane="bottomRight" sqref="A1:H1"/>
    </sheetView>
  </sheetViews>
  <sheetFormatPr defaultColWidth="8.6328125" defaultRowHeight="14.5" x14ac:dyDescent="0.35"/>
  <cols>
    <col min="1" max="1" width="6" customWidth="1"/>
    <col min="2" max="2" width="10" customWidth="1"/>
    <col min="3" max="3" width="14" customWidth="1"/>
    <col min="4" max="8" width="20" customWidth="1"/>
  </cols>
  <sheetData>
    <row r="1" spans="1:8" ht="36" customHeight="1" x14ac:dyDescent="0.35">
      <c r="A1" s="316" t="s">
        <v>454</v>
      </c>
      <c r="B1" s="316"/>
      <c r="C1" s="316"/>
      <c r="D1" s="316"/>
      <c r="E1" s="316"/>
      <c r="F1" s="316"/>
      <c r="G1" s="316"/>
      <c r="H1" s="316"/>
    </row>
    <row r="2" spans="1:8" ht="15.75" customHeight="1" x14ac:dyDescent="0.35">
      <c r="A2" s="317" t="s">
        <v>455</v>
      </c>
      <c r="B2" s="317"/>
      <c r="C2" s="317"/>
      <c r="D2" s="317"/>
      <c r="E2" s="317"/>
      <c r="F2" s="317"/>
      <c r="G2" s="317"/>
      <c r="H2" s="317"/>
    </row>
    <row r="3" spans="1:8" ht="36" customHeight="1" x14ac:dyDescent="0.35">
      <c r="A3" s="20" t="s">
        <v>456</v>
      </c>
      <c r="B3" s="20" t="s">
        <v>457</v>
      </c>
      <c r="C3" s="20" t="s">
        <v>348</v>
      </c>
      <c r="D3" s="20" t="s">
        <v>458</v>
      </c>
      <c r="E3" s="20" t="s">
        <v>459</v>
      </c>
      <c r="F3" s="20" t="s">
        <v>460</v>
      </c>
      <c r="G3" s="20" t="s">
        <v>461</v>
      </c>
      <c r="H3" s="20" t="s">
        <v>462</v>
      </c>
    </row>
    <row r="4" spans="1:8" ht="15.75" customHeight="1" x14ac:dyDescent="0.35">
      <c r="A4" s="82">
        <v>1</v>
      </c>
      <c r="B4" s="110" t="str">
        <f>'30-Year Projection'!B4</f>
        <v>2025/26</v>
      </c>
      <c r="C4" s="111">
        <f>'30-Year Projection'!C4</f>
        <v>35</v>
      </c>
      <c r="D4" s="112">
        <f>'30-Year Projection'!P4</f>
        <v>120796.35312499999</v>
      </c>
      <c r="E4" s="113">
        <f>1/((1+Parameters!B22)^A4)</f>
        <v>0.97560975609756106</v>
      </c>
      <c r="F4" s="90">
        <f t="shared" ref="F4:F33" si="0">D4*E4</f>
        <v>117850.1006097561</v>
      </c>
      <c r="G4" s="112">
        <f>'30-Year Projection'!O4*E4</f>
        <v>20289.125000000004</v>
      </c>
      <c r="H4" s="112">
        <f>'30-Year Projection'!J4*E4</f>
        <v>7972.8658536585372</v>
      </c>
    </row>
    <row r="5" spans="1:8" ht="15.75" customHeight="1" x14ac:dyDescent="0.35">
      <c r="A5" s="82">
        <v>2</v>
      </c>
      <c r="B5" s="114" t="str">
        <f>'30-Year Projection'!B5</f>
        <v>2026/27</v>
      </c>
      <c r="C5" s="115">
        <f>'30-Year Projection'!C5</f>
        <v>36</v>
      </c>
      <c r="D5" s="116">
        <f>'30-Year Projection'!P5</f>
        <v>143685.47509140626</v>
      </c>
      <c r="E5" s="117">
        <f>1/((1+Parameters!B22)^A5)</f>
        <v>0.95181439619274244</v>
      </c>
      <c r="F5" s="90">
        <f t="shared" si="0"/>
        <v>136761.90371579418</v>
      </c>
      <c r="G5" s="116">
        <f>'30-Year Projection'!O5*E5</f>
        <v>21786.195803837003</v>
      </c>
      <c r="H5" s="116">
        <f>'30-Year Projection'!J5*E5</f>
        <v>9300.4178316478283</v>
      </c>
    </row>
    <row r="6" spans="1:8" ht="15.75" customHeight="1" x14ac:dyDescent="0.35">
      <c r="A6" s="82">
        <v>3</v>
      </c>
      <c r="B6" s="110" t="str">
        <f>'30-Year Projection'!B6</f>
        <v>2027/28</v>
      </c>
      <c r="C6" s="111">
        <f>'30-Year Projection'!C6</f>
        <v>37</v>
      </c>
      <c r="D6" s="112">
        <f>'30-Year Projection'!P6</f>
        <v>168385.32152288925</v>
      </c>
      <c r="E6" s="113">
        <f>1/((1+Parameters!B22)^A6)</f>
        <v>0.92859941091974885</v>
      </c>
      <c r="F6" s="90">
        <f t="shared" si="0"/>
        <v>156362.51037368746</v>
      </c>
      <c r="G6" s="112">
        <f>'30-Year Projection'!O6*E6</f>
        <v>22936.262846083377</v>
      </c>
      <c r="H6" s="112">
        <f>'30-Year Projection'!J6*E6</f>
        <v>10688.317006989888</v>
      </c>
    </row>
    <row r="7" spans="1:8" ht="15.75" customHeight="1" x14ac:dyDescent="0.35">
      <c r="A7" s="82">
        <v>4</v>
      </c>
      <c r="B7" s="114" t="str">
        <f>'30-Year Projection'!B7</f>
        <v>2028/29</v>
      </c>
      <c r="C7" s="115">
        <f>'30-Year Projection'!C7</f>
        <v>38</v>
      </c>
      <c r="D7" s="116">
        <f>'30-Year Projection'!P7</f>
        <v>195015.55381461841</v>
      </c>
      <c r="E7" s="117">
        <f>1/((1+Parameters!B22)^A7)</f>
        <v>0.90595064479975507</v>
      </c>
      <c r="F7" s="90">
        <f t="shared" si="0"/>
        <v>176674.4667243349</v>
      </c>
      <c r="G7" s="116">
        <f>'30-Year Projection'!O7*E7</f>
        <v>24125.676115859285</v>
      </c>
      <c r="H7" s="116">
        <f>'30-Year Projection'!J7*E7</f>
        <v>12126.656527142508</v>
      </c>
    </row>
    <row r="8" spans="1:8" ht="15.75" customHeight="1" x14ac:dyDescent="0.35">
      <c r="A8" s="82">
        <v>5</v>
      </c>
      <c r="B8" s="110" t="str">
        <f>'30-Year Projection'!B8</f>
        <v>2029/30</v>
      </c>
      <c r="C8" s="111">
        <f>'30-Year Projection'!C8</f>
        <v>39</v>
      </c>
      <c r="D8" s="112">
        <f>'30-Year Projection'!P8</f>
        <v>223703.20673510575</v>
      </c>
      <c r="E8" s="113">
        <f>1/((1+Parameters!B22)^A8)</f>
        <v>0.88385428760951712</v>
      </c>
      <c r="F8" s="90">
        <f t="shared" si="0"/>
        <v>197721.03842482142</v>
      </c>
      <c r="G8" s="112">
        <f>'30-Year Projection'!O8*E8</f>
        <v>25355.705035226416</v>
      </c>
      <c r="H8" s="112">
        <f>'30-Year Projection'!J8*E8</f>
        <v>13617.086500804817</v>
      </c>
    </row>
    <row r="9" spans="1:8" ht="15.75" customHeight="1" x14ac:dyDescent="0.35">
      <c r="A9" s="82">
        <v>6</v>
      </c>
      <c r="B9" s="114" t="str">
        <f>'30-Year Projection'!B9</f>
        <v>2030/31</v>
      </c>
      <c r="C9" s="115">
        <f>'30-Year Projection'!C9</f>
        <v>40</v>
      </c>
      <c r="D9" s="116">
        <f>'30-Year Projection'!P9</f>
        <v>254583.12794045336</v>
      </c>
      <c r="E9" s="117">
        <f>1/((1+Parameters!B22)^A9)</f>
        <v>0.86229686596050459</v>
      </c>
      <c r="F9" s="90">
        <f t="shared" si="0"/>
        <v>219526.23334947511</v>
      </c>
      <c r="G9" s="116">
        <f>'30-Year Projection'!O9*E9</f>
        <v>26627.659276478556</v>
      </c>
      <c r="H9" s="116">
        <f>'30-Year Projection'!J9*E9</f>
        <v>15161.3096880171</v>
      </c>
    </row>
    <row r="10" spans="1:8" ht="15.75" customHeight="1" x14ac:dyDescent="0.35">
      <c r="A10" s="82">
        <v>7</v>
      </c>
      <c r="B10" s="110" t="str">
        <f>'30-Year Projection'!B10</f>
        <v>2031/32</v>
      </c>
      <c r="C10" s="111">
        <f>'30-Year Projection'!C10</f>
        <v>41</v>
      </c>
      <c r="D10" s="112">
        <f>'30-Year Projection'!P10</f>
        <v>287798.44323732087</v>
      </c>
      <c r="E10" s="113">
        <f>1/((1+Parameters!B22)^A10)</f>
        <v>0.84126523508341911</v>
      </c>
      <c r="F10" s="90">
        <f t="shared" si="0"/>
        <v>242114.82500668679</v>
      </c>
      <c r="G10" s="112">
        <f>'30-Year Projection'!O10*E10</f>
        <v>27942.890031589159</v>
      </c>
      <c r="H10" s="112">
        <f>'30-Year Projection'!J10*E10</f>
        <v>16761.083161250946</v>
      </c>
    </row>
    <row r="11" spans="1:8" ht="15.75" customHeight="1" x14ac:dyDescent="0.35">
      <c r="A11" s="82">
        <v>8</v>
      </c>
      <c r="B11" s="114" t="str">
        <f>'30-Year Projection'!B11</f>
        <v>2032/33</v>
      </c>
      <c r="C11" s="115">
        <f>'30-Year Projection'!C11</f>
        <v>42</v>
      </c>
      <c r="D11" s="116">
        <f>'30-Year Projection'!P11</f>
        <v>323501.04908872308</v>
      </c>
      <c r="E11" s="117">
        <f>1/((1+Parameters!B22)^A11)</f>
        <v>0.82074657081309188</v>
      </c>
      <c r="F11" s="90">
        <f t="shared" si="0"/>
        <v>265512.37669400719</v>
      </c>
      <c r="G11" s="116">
        <f>'30-Year Projection'!O11*E11</f>
        <v>29302.791321629797</v>
      </c>
      <c r="H11" s="116">
        <f>'30-Year Projection'!J11*E11</f>
        <v>18418.220018872711</v>
      </c>
    </row>
    <row r="12" spans="1:8" ht="15.75" customHeight="1" x14ac:dyDescent="0.35">
      <c r="A12" s="82">
        <v>9</v>
      </c>
      <c r="B12" s="110" t="str">
        <f>'30-Year Projection'!B12</f>
        <v>2033/34</v>
      </c>
      <c r="C12" s="111">
        <f>'30-Year Projection'!C12</f>
        <v>43</v>
      </c>
      <c r="D12" s="112">
        <f>'30-Year Projection'!P12</f>
        <v>361852.13394299161</v>
      </c>
      <c r="E12" s="113">
        <f>1/((1+Parameters!B22)^A12)</f>
        <v>0.8007283617688703</v>
      </c>
      <c r="F12" s="90">
        <f t="shared" si="0"/>
        <v>289745.26641474152</v>
      </c>
      <c r="G12" s="112">
        <f>'30-Year Projection'!O12*E12</f>
        <v>30708.801347417379</v>
      </c>
      <c r="H12" s="112">
        <f>'30-Year Projection'!J12*E12</f>
        <v>20134.591152627559</v>
      </c>
    </row>
    <row r="13" spans="1:8" ht="15.75" customHeight="1" x14ac:dyDescent="0.35">
      <c r="A13" s="82">
        <v>10</v>
      </c>
      <c r="B13" s="114" t="str">
        <f>'30-Year Projection'!B13</f>
        <v>2034/35</v>
      </c>
      <c r="C13" s="115">
        <f>'30-Year Projection'!C13</f>
        <v>44</v>
      </c>
      <c r="D13" s="116">
        <f>'30-Year Projection'!P13</f>
        <v>403022.73005742085</v>
      </c>
      <c r="E13" s="117">
        <f>1/((1+Parameters!B22)^A13)</f>
        <v>0.78119840172572708</v>
      </c>
      <c r="F13" s="90">
        <f t="shared" si="0"/>
        <v>314840.71257999633</v>
      </c>
      <c r="G13" s="116">
        <f>'30-Year Projection'!O13*E13</f>
        <v>32162.403882687562</v>
      </c>
      <c r="H13" s="116">
        <f>'30-Year Projection'!J13*E13</f>
        <v>21912.12707084326</v>
      </c>
    </row>
    <row r="14" spans="1:8" ht="15.75" customHeight="1" x14ac:dyDescent="0.35">
      <c r="A14" s="82">
        <v>11</v>
      </c>
      <c r="B14" s="110" t="str">
        <f>'30-Year Projection'!B14</f>
        <v>2035/36</v>
      </c>
      <c r="C14" s="111">
        <f>'30-Year Projection'!C14</f>
        <v>45</v>
      </c>
      <c r="D14" s="112">
        <f>'30-Year Projection'!P14</f>
        <v>447194.29758454743</v>
      </c>
      <c r="E14" s="113">
        <f>1/((1+Parameters!B22)^A14)</f>
        <v>0.7621447821714411</v>
      </c>
      <c r="F14" s="90">
        <f t="shared" si="0"/>
        <v>340826.8005208855</v>
      </c>
      <c r="G14" s="112">
        <f>'30-Year Projection'!O14*E14</f>
        <v>33665.129711132962</v>
      </c>
      <c r="H14" s="112">
        <f>'30-Year Projection'!J14*E14</f>
        <v>23752.819779106485</v>
      </c>
    </row>
    <row r="15" spans="1:8" ht="15.75" customHeight="1" x14ac:dyDescent="0.35">
      <c r="A15" s="82">
        <v>12</v>
      </c>
      <c r="B15" s="114" t="str">
        <f>'30-Year Projection'!B15</f>
        <v>2036/37</v>
      </c>
      <c r="C15" s="115">
        <f>'30-Year Projection'!C15</f>
        <v>46</v>
      </c>
      <c r="D15" s="116">
        <f>'30-Year Projection'!P15</f>
        <v>494559.34279098816</v>
      </c>
      <c r="E15" s="117">
        <f>1/((1+Parameters!B22)^A15)</f>
        <v>0.74355588504530845</v>
      </c>
      <c r="F15" s="90">
        <f t="shared" si="0"/>
        <v>367732.50983637926</v>
      </c>
      <c r="G15" s="116">
        <f>'30-Year Projection'!O15*E15</f>
        <v>35218.558108686106</v>
      </c>
      <c r="H15" s="116">
        <f>'30-Year Projection'!J15*E15</f>
        <v>25658.72472021935</v>
      </c>
    </row>
    <row r="16" spans="1:8" ht="15.75" customHeight="1" x14ac:dyDescent="0.35">
      <c r="A16" s="82">
        <v>13</v>
      </c>
      <c r="B16" s="110" t="str">
        <f>'30-Year Projection'!B16</f>
        <v>2037/38</v>
      </c>
      <c r="C16" s="111">
        <f>'30-Year Projection'!C16</f>
        <v>47</v>
      </c>
      <c r="D16" s="112">
        <f>'30-Year Projection'!P16</f>
        <v>545322.0723866031</v>
      </c>
      <c r="E16" s="113">
        <f>1/((1+Parameters!B22)^A16)</f>
        <v>0.72542037565395945</v>
      </c>
      <c r="F16" s="90">
        <f t="shared" si="0"/>
        <v>395587.74260308529</v>
      </c>
      <c r="G16" s="112">
        <f>'30-Year Projection'!O16*E16</f>
        <v>36824.318372471389</v>
      </c>
      <c r="H16" s="112">
        <f>'30-Year Projection'!J16*E16</f>
        <v>27631.962775301006</v>
      </c>
    </row>
    <row r="17" spans="1:8" ht="15.75" customHeight="1" x14ac:dyDescent="0.35">
      <c r="A17" s="82">
        <v>14</v>
      </c>
      <c r="B17" s="114" t="str">
        <f>'30-Year Projection'!B17</f>
        <v>2038/39</v>
      </c>
      <c r="C17" s="115">
        <f>'30-Year Projection'!C17</f>
        <v>48</v>
      </c>
      <c r="D17" s="116">
        <f>'30-Year Projection'!P17</f>
        <v>599699.08605578996</v>
      </c>
      <c r="E17" s="117">
        <f>1/((1+Parameters!B22)^A17)</f>
        <v>0.70772719575996057</v>
      </c>
      <c r="F17" s="90">
        <f t="shared" si="0"/>
        <v>424423.35247407551</v>
      </c>
      <c r="G17" s="116">
        <f>'30-Year Projection'!O17*E17</f>
        <v>38484.09139789467</v>
      </c>
      <c r="H17" s="116">
        <f>'30-Year Projection'!J17*E17</f>
        <v>29674.722327957843</v>
      </c>
    </row>
    <row r="18" spans="1:8" ht="15.75" customHeight="1" x14ac:dyDescent="0.35">
      <c r="A18" s="82">
        <v>15</v>
      </c>
      <c r="B18" s="110" t="str">
        <f>'30-Year Projection'!B18</f>
        <v>2039/40</v>
      </c>
      <c r="C18" s="111">
        <f>'30-Year Projection'!C18</f>
        <v>49</v>
      </c>
      <c r="D18" s="112">
        <f>'30-Year Projection'!P18</f>
        <v>657920.10940331582</v>
      </c>
      <c r="E18" s="113">
        <f>1/((1+Parameters!B22)^A18)</f>
        <v>0.69046555683898581</v>
      </c>
      <c r="F18" s="90">
        <f t="shared" si="0"/>
        <v>454271.17469472694</v>
      </c>
      <c r="G18" s="112">
        <f>'30-Year Projection'!O18*E18</f>
        <v>40199.611305385006</v>
      </c>
      <c r="H18" s="112">
        <f>'30-Year Projection'!J18*E18</f>
        <v>31789.261393506073</v>
      </c>
    </row>
    <row r="19" spans="1:8" ht="15.75" customHeight="1" x14ac:dyDescent="0.35">
      <c r="A19" s="82">
        <v>16</v>
      </c>
      <c r="B19" s="114" t="str">
        <f>'30-Year Projection'!B19</f>
        <v>2040/41</v>
      </c>
      <c r="C19" s="115">
        <f>'30-Year Projection'!C19</f>
        <v>50</v>
      </c>
      <c r="D19" s="116">
        <f>'30-Year Projection'!P19</f>
        <v>720228.76965462381</v>
      </c>
      <c r="E19" s="117">
        <f>1/((1+Parameters!B22)^A19)</f>
        <v>0.67362493350144959</v>
      </c>
      <c r="F19" s="90">
        <f t="shared" si="0"/>
        <v>485164.05706442683</v>
      </c>
      <c r="G19" s="116">
        <f>'30-Year Projection'!O19*E19</f>
        <v>41972.667118351768</v>
      </c>
      <c r="H19" s="116">
        <f>'30-Year Projection'!J19*E19</f>
        <v>33977.909815293548</v>
      </c>
    </row>
    <row r="20" spans="1:8" ht="15.75" customHeight="1" x14ac:dyDescent="0.35">
      <c r="A20" s="82">
        <v>17</v>
      </c>
      <c r="B20" s="110" t="str">
        <f>'30-Year Projection'!B20</f>
        <v>2041/42</v>
      </c>
      <c r="C20" s="111">
        <f>'30-Year Projection'!C20</f>
        <v>51</v>
      </c>
      <c r="D20" s="112">
        <f>'30-Year Projection'!P20</f>
        <v>786883.41658541549</v>
      </c>
      <c r="E20" s="113">
        <f>1/((1+Parameters!B22)^A20)</f>
        <v>0.65719505707458503</v>
      </c>
      <c r="F20" s="90">
        <f t="shared" si="0"/>
        <v>517135.89187389659</v>
      </c>
      <c r="G20" s="112">
        <f>'30-Year Projection'!O20*E20</f>
        <v>43805.104493967963</v>
      </c>
      <c r="H20" s="112">
        <f>'30-Year Projection'!J20*E20</f>
        <v>36243.071530231224</v>
      </c>
    </row>
    <row r="21" spans="1:8" ht="15.75" customHeight="1" x14ac:dyDescent="0.35">
      <c r="A21" s="82">
        <v>18</v>
      </c>
      <c r="B21" s="114" t="str">
        <f>'30-Year Projection'!B21</f>
        <v>2042/43</v>
      </c>
      <c r="C21" s="115">
        <f>'30-Year Projection'!C21</f>
        <v>52</v>
      </c>
      <c r="D21" s="116">
        <f>'30-Year Projection'!P21</f>
        <v>858157.99129792454</v>
      </c>
      <c r="E21" s="117">
        <f>1/((1+Parameters!B22)^A21)</f>
        <v>0.64116590934105855</v>
      </c>
      <c r="F21" s="90">
        <f t="shared" si="0"/>
        <v>550221.64884883002</v>
      </c>
      <c r="G21" s="116">
        <f>'30-Year Projection'!O21*E21</f>
        <v>45698.827508443086</v>
      </c>
      <c r="H21" s="116">
        <f>'30-Year Projection'!J21*E21</f>
        <v>38587.226905712043</v>
      </c>
    </row>
    <row r="22" spans="1:8" ht="15.75" customHeight="1" x14ac:dyDescent="0.35">
      <c r="A22" s="82">
        <v>19</v>
      </c>
      <c r="B22" s="110" t="str">
        <f>'30-Year Projection'!B22</f>
        <v>2043/44</v>
      </c>
      <c r="C22" s="111">
        <f>'30-Year Projection'!C22</f>
        <v>53</v>
      </c>
      <c r="D22" s="112">
        <f>'30-Year Projection'!P22</f>
        <v>934342.94561211031</v>
      </c>
      <c r="E22" s="113">
        <f>1/((1+Parameters!B22)^A22)</f>
        <v>0.62552771643030103</v>
      </c>
      <c r="F22" s="90">
        <f t="shared" si="0"/>
        <v>584457.40913150436</v>
      </c>
      <c r="G22" s="112">
        <f>'30-Year Projection'!O22*E22</f>
        <v>47655.800498499462</v>
      </c>
      <c r="H22" s="112">
        <f>'30-Year Projection'!J22*E22</f>
        <v>41012.935150162848</v>
      </c>
    </row>
    <row r="23" spans="1:8" ht="15.75" customHeight="1" x14ac:dyDescent="0.35">
      <c r="A23" s="82">
        <v>20</v>
      </c>
      <c r="B23" s="114" t="str">
        <f>'30-Year Projection'!B23</f>
        <v>2044/45</v>
      </c>
      <c r="C23" s="115">
        <f>'30-Year Projection'!C23</f>
        <v>54</v>
      </c>
      <c r="D23" s="116">
        <f>'30-Year Projection'!P23</f>
        <v>1015746.2149994798</v>
      </c>
      <c r="E23" s="117">
        <f>1/((1+Parameters!B22)^A23)</f>
        <v>0.61027094285883032</v>
      </c>
      <c r="F23" s="90">
        <f t="shared" si="0"/>
        <v>619880.40033302072</v>
      </c>
      <c r="G23" s="116">
        <f>'30-Year Projection'!O23*E23</f>
        <v>49678.049960821379</v>
      </c>
      <c r="H23" s="116">
        <f>'30-Year Projection'!J23*E23</f>
        <v>43522.836799545963</v>
      </c>
    </row>
    <row r="24" spans="1:8" ht="15.75" customHeight="1" x14ac:dyDescent="0.35">
      <c r="A24" s="82">
        <v>21</v>
      </c>
      <c r="B24" s="110" t="str">
        <f>'30-Year Projection'!B24</f>
        <v>2045/46</v>
      </c>
      <c r="C24" s="111">
        <f>'30-Year Projection'!C24</f>
        <v>55</v>
      </c>
      <c r="D24" s="112">
        <f>'30-Year Projection'!P24</f>
        <v>1102694.2481558903</v>
      </c>
      <c r="E24" s="113">
        <f>1/((1+Parameters!B22)^A24)</f>
        <v>0.59538628571593211</v>
      </c>
      <c r="F24" s="90">
        <f t="shared" si="0"/>
        <v>656529.03268985788</v>
      </c>
      <c r="G24" s="112">
        <f>'30-Year Projection'!O24*E24</f>
        <v>51767.666511300893</v>
      </c>
      <c r="H24" s="112">
        <f>'30-Year Projection'!J24*E24</f>
        <v>46119.65628219991</v>
      </c>
    </row>
    <row r="25" spans="1:8" ht="15.75" customHeight="1" x14ac:dyDescent="0.35">
      <c r="A25" s="82">
        <v>22</v>
      </c>
      <c r="B25" s="114" t="str">
        <f>'30-Year Projection'!B25</f>
        <v>2046/47</v>
      </c>
      <c r="C25" s="115">
        <f>'30-Year Projection'!C25</f>
        <v>56</v>
      </c>
      <c r="D25" s="116">
        <f>'30-Year Projection'!P25</f>
        <v>1195533.0964880199</v>
      </c>
      <c r="E25" s="117">
        <f>1/((1+Parameters!B22)^A25)</f>
        <v>0.5808646689911533</v>
      </c>
      <c r="F25" s="90">
        <f t="shared" si="0"/>
        <v>694442.93635948224</v>
      </c>
      <c r="G25" s="116">
        <f>'30-Year Projection'!O25*E25</f>
        <v>53926.806905962381</v>
      </c>
      <c r="H25" s="116">
        <f>'30-Year Projection'!J25*E25</f>
        <v>48806.204564483909</v>
      </c>
    </row>
    <row r="26" spans="1:8" ht="15.75" customHeight="1" x14ac:dyDescent="0.35">
      <c r="A26" s="82">
        <v>23</v>
      </c>
      <c r="B26" s="110" t="str">
        <f>'30-Year Projection'!B26</f>
        <v>2047/48</v>
      </c>
      <c r="C26" s="111">
        <f>'30-Year Projection'!C26</f>
        <v>57</v>
      </c>
      <c r="D26" s="112">
        <f>'30-Year Projection'!P26</f>
        <v>1294629.5669767782</v>
      </c>
      <c r="E26" s="113">
        <f>1/((1+Parameters!B22)^A26)</f>
        <v>0.5666972380401496</v>
      </c>
      <c r="F26" s="90">
        <f t="shared" si="0"/>
        <v>733662.99989085505</v>
      </c>
      <c r="G26" s="112">
        <f>'30-Year Projection'!O26*E26</f>
        <v>56157.696125506525</v>
      </c>
      <c r="H26" s="112">
        <f>'30-Year Projection'!J26*E26</f>
        <v>51585.381879768574</v>
      </c>
    </row>
    <row r="27" spans="1:8" ht="15.75" customHeight="1" x14ac:dyDescent="0.35">
      <c r="A27" s="82">
        <v>24</v>
      </c>
      <c r="B27" s="114" t="str">
        <f>'30-Year Projection'!B27</f>
        <v>2048/49</v>
      </c>
      <c r="C27" s="115">
        <f>'30-Year Projection'!C27</f>
        <v>58</v>
      </c>
      <c r="D27" s="116">
        <f>'30-Year Projection'!P27</f>
        <v>1400372.4420803399</v>
      </c>
      <c r="E27" s="117">
        <f>1/((1+Parameters!B22)^A27)</f>
        <v>0.55287535418551181</v>
      </c>
      <c r="F27" s="90">
        <f t="shared" si="0"/>
        <v>774231.40990679804</v>
      </c>
      <c r="G27" s="116">
        <f>'30-Year Projection'!O27*E27</f>
        <v>58462.629525475975</v>
      </c>
      <c r="H27" s="116">
        <f>'30-Year Projection'!J27*E27</f>
        <v>54460.180543394788</v>
      </c>
    </row>
    <row r="28" spans="1:8" ht="15.75" customHeight="1" x14ac:dyDescent="0.35">
      <c r="A28" s="82">
        <v>25</v>
      </c>
      <c r="B28" s="110" t="str">
        <f>'30-Year Projection'!B28</f>
        <v>2049/50</v>
      </c>
      <c r="C28" s="111">
        <f>'30-Year Projection'!C28</f>
        <v>59</v>
      </c>
      <c r="D28" s="112">
        <f>'30-Year Projection'!P28</f>
        <v>1513173.7705503628</v>
      </c>
      <c r="E28" s="113">
        <f>1/((1+Parameters!B22)^A28)</f>
        <v>0.53939058944927987</v>
      </c>
      <c r="F28" s="90">
        <f t="shared" si="0"/>
        <v>816191.69203634956</v>
      </c>
      <c r="G28" s="112">
        <f>'30-Year Projection'!O28*E28</f>
        <v>60843.975054107505</v>
      </c>
      <c r="H28" s="112">
        <f>'30-Year Projection'!J28*E28</f>
        <v>57433.687856305936</v>
      </c>
    </row>
    <row r="29" spans="1:8" ht="15.75" customHeight="1" x14ac:dyDescent="0.35">
      <c r="A29" s="82">
        <v>26</v>
      </c>
      <c r="B29" s="114" t="str">
        <f>'30-Year Projection'!B29</f>
        <v>2050/51</v>
      </c>
      <c r="C29" s="115">
        <f>'30-Year Projection'!C29</f>
        <v>60</v>
      </c>
      <c r="D29" s="116">
        <f>'30-Year Projection'!P29</f>
        <v>1633470.2332579356</v>
      </c>
      <c r="E29" s="117">
        <f>1/((1+Parameters!B22)^A29)</f>
        <v>0.52623472141393168</v>
      </c>
      <c r="F29" s="90">
        <f t="shared" si="0"/>
        <v>859588.75313643971</v>
      </c>
      <c r="G29" s="116">
        <f>'30-Year Projection'!O29*E29</f>
        <v>63304.175540000986</v>
      </c>
      <c r="H29" s="116">
        <f>'30-Year Projection'!J29*E29</f>
        <v>60509.089100143006</v>
      </c>
    </row>
    <row r="30" spans="1:8" ht="15.75" customHeight="1" x14ac:dyDescent="0.35">
      <c r="A30" s="82">
        <v>27</v>
      </c>
      <c r="B30" s="110" t="str">
        <f>'30-Year Projection'!B30</f>
        <v>2051/52</v>
      </c>
      <c r="C30" s="111">
        <f>'30-Year Projection'!C30</f>
        <v>61</v>
      </c>
      <c r="D30" s="112">
        <f>'30-Year Projection'!P30</f>
        <v>1761724.588361593</v>
      </c>
      <c r="E30" s="113">
        <f>1/((1+Parameters!B22)^A30)</f>
        <v>0.51339972820871382</v>
      </c>
      <c r="F30" s="90">
        <f t="shared" si="0"/>
        <v>904468.92484345008</v>
      </c>
      <c r="G30" s="112">
        <f>'30-Year Projection'!O30*E30</f>
        <v>65845.751051801548</v>
      </c>
      <c r="H30" s="112">
        <f>'30-Year Projection'!J30*E30</f>
        <v>63689.670626680658</v>
      </c>
    </row>
    <row r="31" spans="1:8" ht="15.75" customHeight="1" x14ac:dyDescent="0.35">
      <c r="A31" s="82">
        <v>28</v>
      </c>
      <c r="B31" s="114" t="str">
        <f>'30-Year Projection'!B31</f>
        <v>2052/53</v>
      </c>
      <c r="C31" s="115">
        <f>'30-Year Projection'!C31</f>
        <v>62</v>
      </c>
      <c r="D31" s="116">
        <f>'30-Year Projection'!P31</f>
        <v>1898427.2003990782</v>
      </c>
      <c r="E31" s="117">
        <f>1/((1+Parameters!B22)^A31)</f>
        <v>0.50087778361825741</v>
      </c>
      <c r="F31" s="90">
        <f t="shared" si="0"/>
        <v>950880.00849650369</v>
      </c>
      <c r="G31" s="116">
        <f>'30-Year Projection'!O31*E31</f>
        <v>68471.301332162097</v>
      </c>
      <c r="H31" s="116">
        <f>'30-Year Projection'!J31*E31</f>
        <v>66978.823044572462</v>
      </c>
    </row>
    <row r="32" spans="1:8" ht="15.75" customHeight="1" x14ac:dyDescent="0.35">
      <c r="A32" s="82">
        <v>29</v>
      </c>
      <c r="B32" s="110" t="str">
        <f>'30-Year Projection'!B32</f>
        <v>2053/54</v>
      </c>
      <c r="C32" s="111">
        <f>'30-Year Projection'!C32</f>
        <v>63</v>
      </c>
      <c r="D32" s="112">
        <f>'30-Year Projection'!P32</f>
        <v>2044097.6581481865</v>
      </c>
      <c r="E32" s="113">
        <f>1/((1+Parameters!B22)^A32)</f>
        <v>0.48866125231049495</v>
      </c>
      <c r="F32" s="90">
        <f t="shared" si="0"/>
        <v>998871.32147564285</v>
      </c>
      <c r="G32" s="112">
        <f>'30-Year Projection'!O32*E32</f>
        <v>71183.508308322314</v>
      </c>
      <c r="H32" s="112">
        <f>'30-Year Projection'!J32*E32</f>
        <v>70380.044506466831</v>
      </c>
    </row>
    <row r="33" spans="1:8" ht="15.75" customHeight="1" x14ac:dyDescent="0.35">
      <c r="A33" s="82">
        <v>30</v>
      </c>
      <c r="B33" s="114" t="str">
        <f>'30-Year Projection'!B33</f>
        <v>2054/55</v>
      </c>
      <c r="C33" s="115">
        <f>'30-Year Projection'!C33</f>
        <v>64</v>
      </c>
      <c r="D33" s="116">
        <f>'30-Year Projection'!P33</f>
        <v>2199286.4863808248</v>
      </c>
      <c r="E33" s="117">
        <f>1/((1+Parameters!B22)^A33)</f>
        <v>0.47674268518097085</v>
      </c>
      <c r="F33" s="90">
        <f t="shared" si="0"/>
        <v>1048493.7449994171</v>
      </c>
      <c r="G33" s="116">
        <f>'30-Year Projection'!O33*E33</f>
        <v>73985.138681716562</v>
      </c>
      <c r="H33" s="116">
        <f>'30-Year Projection'!J33*E33</f>
        <v>73896.944099652072</v>
      </c>
    </row>
  </sheetData>
  <mergeCells count="2">
    <mergeCell ref="A1:H1"/>
    <mergeCell ref="A2:H2"/>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A8C6B"/>
  </sheetPr>
  <dimension ref="A1:O31"/>
  <sheetViews>
    <sheetView showGridLines="0" zoomScaleNormal="100" workbookViewId="0"/>
  </sheetViews>
  <sheetFormatPr defaultColWidth="8.6328125" defaultRowHeight="14.5" x14ac:dyDescent="0.35"/>
  <sheetData>
    <row r="1" spans="1:15" ht="14.25" customHeight="1" x14ac:dyDescent="0.35">
      <c r="A1" t="s">
        <v>498</v>
      </c>
      <c r="B1" t="s">
        <v>348</v>
      </c>
      <c r="C1" t="s">
        <v>499</v>
      </c>
      <c r="D1" t="s">
        <v>500</v>
      </c>
      <c r="E1" t="s">
        <v>501</v>
      </c>
      <c r="F1" t="s">
        <v>502</v>
      </c>
      <c r="G1" t="s">
        <v>503</v>
      </c>
      <c r="H1" t="s">
        <v>504</v>
      </c>
      <c r="I1" t="s">
        <v>505</v>
      </c>
      <c r="J1" t="s">
        <v>506</v>
      </c>
      <c r="K1" t="s">
        <v>507</v>
      </c>
      <c r="L1" t="s">
        <v>508</v>
      </c>
      <c r="M1" t="s">
        <v>509</v>
      </c>
      <c r="N1" t="s">
        <v>510</v>
      </c>
      <c r="O1" t="s">
        <v>511</v>
      </c>
    </row>
    <row r="2" spans="1:15" ht="14.25" customHeight="1" x14ac:dyDescent="0.35">
      <c r="A2">
        <v>1</v>
      </c>
      <c r="B2" s="119">
        <f>'30-Year Projection'!C4</f>
        <v>35</v>
      </c>
      <c r="C2" s="120">
        <f>'30-Year Projection'!P4</f>
        <v>120796.35312499999</v>
      </c>
      <c r="D2" s="120">
        <f>'Real Returns'!F4</f>
        <v>117850.1006097561</v>
      </c>
      <c r="E2" s="120">
        <f>'30-Year Projection'!F4</f>
        <v>10925</v>
      </c>
      <c r="F2" s="120">
        <f>'30-Year Projection'!G4</f>
        <v>5000</v>
      </c>
      <c r="G2" s="120">
        <f>'30-Year Projection'!H4</f>
        <v>2000</v>
      </c>
      <c r="H2" s="120">
        <f>'30-Year Projection'!I4</f>
        <v>17925</v>
      </c>
      <c r="I2" s="120">
        <f>'30-Year Projection'!J4</f>
        <v>8172.1875</v>
      </c>
      <c r="J2" s="120">
        <f>'30-Year Projection'!K4</f>
        <v>2388.75</v>
      </c>
      <c r="K2" s="120">
        <f>'30-Year Projection'!L4</f>
        <v>1225.828125</v>
      </c>
      <c r="L2" s="120">
        <f>'30-Year Projection'!M4</f>
        <v>786.25625000000002</v>
      </c>
      <c r="M2" s="120">
        <f>'30-Year Projection'!N4</f>
        <v>900</v>
      </c>
      <c r="N2">
        <f>SUM(ChartData!E$2:E2)</f>
        <v>10925</v>
      </c>
      <c r="O2">
        <f>SUM(ChartData!I$2:I2)</f>
        <v>8172.1875</v>
      </c>
    </row>
    <row r="3" spans="1:15" ht="14.25" customHeight="1" x14ac:dyDescent="0.35">
      <c r="A3">
        <v>2</v>
      </c>
      <c r="B3" s="119">
        <f>'30-Year Projection'!C5</f>
        <v>36</v>
      </c>
      <c r="C3" s="120">
        <f>'30-Year Projection'!P5</f>
        <v>143685.47509140626</v>
      </c>
      <c r="D3" s="120">
        <f>'Real Returns'!F5</f>
        <v>136761.90371579418</v>
      </c>
      <c r="E3" s="120">
        <f>'30-Year Projection'!F5</f>
        <v>11798.999999999998</v>
      </c>
      <c r="F3" s="120">
        <f>'30-Year Projection'!G5</f>
        <v>5125</v>
      </c>
      <c r="G3" s="120">
        <f>'30-Year Projection'!H5</f>
        <v>2050</v>
      </c>
      <c r="H3" s="120">
        <f>'30-Year Projection'!I5</f>
        <v>18974</v>
      </c>
      <c r="I3" s="120">
        <f>'30-Year Projection'!J5</f>
        <v>9771.2514843749996</v>
      </c>
      <c r="J3" s="120">
        <f>'30-Year Projection'!K5</f>
        <v>2538.6</v>
      </c>
      <c r="K3" s="120">
        <f>'30-Year Projection'!L5</f>
        <v>1465.6877226562499</v>
      </c>
      <c r="L3" s="120">
        <f>'30-Year Projection'!M5</f>
        <v>924.84179531249993</v>
      </c>
      <c r="M3" s="120">
        <f>'30-Year Projection'!N5</f>
        <v>927</v>
      </c>
      <c r="N3">
        <f>SUM(ChartData!E$2:E3)</f>
        <v>22724</v>
      </c>
      <c r="O3">
        <f>SUM(ChartData!I$2:I3)</f>
        <v>17943.438984375</v>
      </c>
    </row>
    <row r="4" spans="1:15" ht="14.25" customHeight="1" x14ac:dyDescent="0.35">
      <c r="A4">
        <v>3</v>
      </c>
      <c r="B4" s="119">
        <f>'30-Year Projection'!C6</f>
        <v>37</v>
      </c>
      <c r="C4" s="120">
        <f>'30-Year Projection'!P6</f>
        <v>168385.32152288925</v>
      </c>
      <c r="D4" s="120">
        <f>'Real Returns'!F6</f>
        <v>156362.51037368746</v>
      </c>
      <c r="E4" s="120">
        <f>'30-Year Projection'!F6</f>
        <v>12211.964999999997</v>
      </c>
      <c r="F4" s="120">
        <f>'30-Year Projection'!G6</f>
        <v>5253.1249999999991</v>
      </c>
      <c r="G4" s="120">
        <f>'30-Year Projection'!H6</f>
        <v>2101.25</v>
      </c>
      <c r="H4" s="120">
        <f>'30-Year Projection'!I6</f>
        <v>19566.339999999997</v>
      </c>
      <c r="I4" s="120">
        <f>'30-Year Projection'!J6</f>
        <v>11510.148381855468</v>
      </c>
      <c r="J4" s="120">
        <f>'30-Year Projection'!K6</f>
        <v>2619.7634999999996</v>
      </c>
      <c r="K4" s="120">
        <f>'30-Year Projection'!L6</f>
        <v>1726.5222572783202</v>
      </c>
      <c r="L4" s="120">
        <f>'30-Year Projection'!M6</f>
        <v>1075.5461930941406</v>
      </c>
      <c r="M4" s="120">
        <f>'30-Year Projection'!N6</f>
        <v>954.81000000000006</v>
      </c>
      <c r="N4">
        <f>SUM(ChartData!E$2:E4)</f>
        <v>34935.964999999997</v>
      </c>
      <c r="O4">
        <f>SUM(ChartData!I$2:I4)</f>
        <v>29453.587366230466</v>
      </c>
    </row>
    <row r="5" spans="1:15" ht="14.25" customHeight="1" x14ac:dyDescent="0.35">
      <c r="A5">
        <v>4</v>
      </c>
      <c r="B5" s="119">
        <f>'30-Year Projection'!C7</f>
        <v>38</v>
      </c>
      <c r="C5" s="120">
        <f>'30-Year Projection'!P7</f>
        <v>195015.55381461841</v>
      </c>
      <c r="D5" s="120">
        <f>'Real Returns'!F7</f>
        <v>176674.4667243349</v>
      </c>
      <c r="E5" s="120">
        <f>'30-Year Projection'!F7</f>
        <v>12639.383774999995</v>
      </c>
      <c r="F5" s="120">
        <f>'30-Year Projection'!G7</f>
        <v>5384.4531249999982</v>
      </c>
      <c r="G5" s="120">
        <f>'30-Year Projection'!H7</f>
        <v>2153.78125</v>
      </c>
      <c r="H5" s="120">
        <f>'30-Year Projection'!I7</f>
        <v>20177.618149999995</v>
      </c>
      <c r="I5" s="120">
        <f>'30-Year Projection'!J7</f>
        <v>13385.559794841693</v>
      </c>
      <c r="J5" s="120">
        <f>'30-Year Projection'!K7</f>
        <v>2703.575534999999</v>
      </c>
      <c r="K5" s="120">
        <f>'30-Year Projection'!L7</f>
        <v>2007.8339692262539</v>
      </c>
      <c r="L5" s="120">
        <f>'30-Year Projection'!M7</f>
        <v>1238.0818488862801</v>
      </c>
      <c r="M5" s="120">
        <f>'30-Year Projection'!N7</f>
        <v>983.4543000000001</v>
      </c>
      <c r="N5">
        <f>SUM(ChartData!E$2:E5)</f>
        <v>47575.348774999991</v>
      </c>
      <c r="O5">
        <f>SUM(ChartData!I$2:I5)</f>
        <v>42839.147161072156</v>
      </c>
    </row>
    <row r="6" spans="1:15" ht="14.25" customHeight="1" x14ac:dyDescent="0.35">
      <c r="A6">
        <v>5</v>
      </c>
      <c r="B6" s="119">
        <f>'30-Year Projection'!C8</f>
        <v>39</v>
      </c>
      <c r="C6" s="120">
        <f>'30-Year Projection'!P8</f>
        <v>223703.20673510575</v>
      </c>
      <c r="D6" s="120">
        <f>'Real Returns'!F8</f>
        <v>197721.03842482142</v>
      </c>
      <c r="E6" s="120">
        <f>'30-Year Projection'!F8</f>
        <v>13081.762207124993</v>
      </c>
      <c r="F6" s="120">
        <f>'30-Year Projection'!G8</f>
        <v>5519.0644531249973</v>
      </c>
      <c r="G6" s="120">
        <f>'30-Year Projection'!H8</f>
        <v>2207.6257812499998</v>
      </c>
      <c r="H6" s="120">
        <f>'30-Year Projection'!I8</f>
        <v>20808.452441499991</v>
      </c>
      <c r="I6" s="120">
        <f>'30-Year Projection'!J8</f>
        <v>15406.483502652629</v>
      </c>
      <c r="J6" s="120">
        <f>'30-Year Projection'!K8</f>
        <v>2790.1239990374984</v>
      </c>
      <c r="K6" s="120">
        <f>'30-Year Projection'!L8</f>
        <v>2310.9725253978941</v>
      </c>
      <c r="L6" s="120">
        <f>'30-Year Projection'!M8</f>
        <v>1413.2285702298946</v>
      </c>
      <c r="M6" s="120">
        <f>'30-Year Projection'!N8</f>
        <v>1012.9579290000001</v>
      </c>
      <c r="N6">
        <f>SUM(ChartData!E$2:E6)</f>
        <v>60657.110982124985</v>
      </c>
      <c r="O6">
        <f>SUM(ChartData!I$2:I6)</f>
        <v>58245.630663724784</v>
      </c>
    </row>
    <row r="7" spans="1:15" ht="14.25" customHeight="1" x14ac:dyDescent="0.35">
      <c r="A7">
        <v>6</v>
      </c>
      <c r="B7" s="119">
        <f>'30-Year Projection'!C9</f>
        <v>40</v>
      </c>
      <c r="C7" s="120">
        <f>'30-Year Projection'!P9</f>
        <v>254583.12794045336</v>
      </c>
      <c r="D7" s="120">
        <f>'Real Returns'!F9</f>
        <v>219526.23334947511</v>
      </c>
      <c r="E7" s="120">
        <f>'30-Year Projection'!F9</f>
        <v>13539.623884374367</v>
      </c>
      <c r="F7" s="120">
        <f>'30-Year Projection'!G9</f>
        <v>5657.0410644531221</v>
      </c>
      <c r="G7" s="120">
        <f>'30-Year Projection'!H9</f>
        <v>2262.8164257812496</v>
      </c>
      <c r="H7" s="120">
        <f>'30-Year Projection'!I9</f>
        <v>21459.481374608738</v>
      </c>
      <c r="I7" s="120">
        <f>'30-Year Projection'!J9</f>
        <v>17582.471056680759</v>
      </c>
      <c r="J7" s="120">
        <f>'30-Year Projection'!K9</f>
        <v>2879.4997423241234</v>
      </c>
      <c r="K7" s="120">
        <f>'30-Year Projection'!L9</f>
        <v>2637.3706585021137</v>
      </c>
      <c r="L7" s="120">
        <f>'30-Year Projection'!M9</f>
        <v>1601.8141582456658</v>
      </c>
      <c r="M7" s="120">
        <f>'30-Year Projection'!N9</f>
        <v>1043.3466668700003</v>
      </c>
      <c r="N7">
        <f>SUM(ChartData!E$2:E7)</f>
        <v>74196.734866499348</v>
      </c>
      <c r="O7">
        <f>SUM(ChartData!I$2:I7)</f>
        <v>75828.101720405539</v>
      </c>
    </row>
    <row r="8" spans="1:15" ht="14.25" customHeight="1" x14ac:dyDescent="0.35">
      <c r="A8">
        <v>7</v>
      </c>
      <c r="B8" s="119">
        <f>'30-Year Projection'!C10</f>
        <v>41</v>
      </c>
      <c r="C8" s="120">
        <f>'30-Year Projection'!P10</f>
        <v>287798.44323732087</v>
      </c>
      <c r="D8" s="120">
        <f>'Real Returns'!F10</f>
        <v>242114.82500668679</v>
      </c>
      <c r="E8" s="120">
        <f>'30-Year Projection'!F10</f>
        <v>14013.510720327469</v>
      </c>
      <c r="F8" s="120">
        <f>'30-Year Projection'!G10</f>
        <v>5798.46709106445</v>
      </c>
      <c r="G8" s="120">
        <f>'30-Year Projection'!H10</f>
        <v>2319.3868364257805</v>
      </c>
      <c r="H8" s="120">
        <f>'30-Year Projection'!I10</f>
        <v>22131.3646478177</v>
      </c>
      <c r="I8" s="120">
        <f>'30-Year Projection'!J10</f>
        <v>19923.660769827165</v>
      </c>
      <c r="J8" s="120">
        <f>'30-Year Projection'!K10</f>
        <v>2971.7966717087879</v>
      </c>
      <c r="K8" s="120">
        <f>'30-Year Projection'!L10</f>
        <v>2988.5491154740748</v>
      </c>
      <c r="L8" s="120">
        <f>'30-Year Projection'!M10</f>
        <v>1804.7172667183543</v>
      </c>
      <c r="M8" s="120">
        <f>'30-Year Projection'!N10</f>
        <v>1074.6470668761003</v>
      </c>
      <c r="N8">
        <f>SUM(ChartData!E$2:E8)</f>
        <v>88210.245586826815</v>
      </c>
      <c r="O8">
        <f>SUM(ChartData!I$2:I8)</f>
        <v>95751.762490232708</v>
      </c>
    </row>
    <row r="9" spans="1:15" ht="14.25" customHeight="1" x14ac:dyDescent="0.35">
      <c r="A9">
        <v>8</v>
      </c>
      <c r="B9" s="119">
        <f>'30-Year Projection'!C11</f>
        <v>42</v>
      </c>
      <c r="C9" s="120">
        <f>'30-Year Projection'!P11</f>
        <v>323501.04908872308</v>
      </c>
      <c r="D9" s="120">
        <f>'Real Returns'!F11</f>
        <v>265512.37669400719</v>
      </c>
      <c r="E9" s="120">
        <f>'30-Year Projection'!F11</f>
        <v>14503.983595538928</v>
      </c>
      <c r="F9" s="120">
        <f>'30-Year Projection'!G11</f>
        <v>5943.4287683410603</v>
      </c>
      <c r="G9" s="120">
        <f>'30-Year Projection'!H11</f>
        <v>2377.3715073364247</v>
      </c>
      <c r="H9" s="120">
        <f>'30-Year Projection'!I11</f>
        <v>22824.783871216412</v>
      </c>
      <c r="I9" s="120">
        <f>'30-Year Projection'!J11</f>
        <v>22440.812637969681</v>
      </c>
      <c r="J9" s="120">
        <f>'30-Year Projection'!K11</f>
        <v>3067.1118545819977</v>
      </c>
      <c r="K9" s="120">
        <f>'30-Year Projection'!L11</f>
        <v>3366.1218956954522</v>
      </c>
      <c r="L9" s="120">
        <f>'30-Year Projection'!M11</f>
        <v>2022.8704286240391</v>
      </c>
      <c r="M9" s="120">
        <f>'30-Year Projection'!N11</f>
        <v>1106.8864788823835</v>
      </c>
      <c r="N9">
        <f>SUM(ChartData!E$2:E9)</f>
        <v>102714.22918236574</v>
      </c>
      <c r="O9">
        <f>SUM(ChartData!I$2:I9)</f>
        <v>118192.57512820238</v>
      </c>
    </row>
    <row r="10" spans="1:15" ht="14.25" customHeight="1" x14ac:dyDescent="0.35">
      <c r="A10">
        <v>9</v>
      </c>
      <c r="B10" s="119">
        <f>'30-Year Projection'!C12</f>
        <v>43</v>
      </c>
      <c r="C10" s="120">
        <f>'30-Year Projection'!P12</f>
        <v>361852.13394299161</v>
      </c>
      <c r="D10" s="120">
        <f>'Real Returns'!F12</f>
        <v>289745.26641474152</v>
      </c>
      <c r="E10" s="120">
        <f>'30-Year Projection'!F12</f>
        <v>15011.623021382789</v>
      </c>
      <c r="F10" s="120">
        <f>'30-Year Projection'!G12</f>
        <v>6092.0144875495862</v>
      </c>
      <c r="G10" s="120">
        <f>'30-Year Projection'!H12</f>
        <v>2436.8057950198349</v>
      </c>
      <c r="H10" s="120">
        <f>'30-Year Projection'!I12</f>
        <v>23540.443303952212</v>
      </c>
      <c r="I10" s="120">
        <f>'30-Year Projection'!J12</f>
        <v>25145.345305552441</v>
      </c>
      <c r="J10" s="120">
        <f>'30-Year Projection'!K12</f>
        <v>3165.5456263398564</v>
      </c>
      <c r="K10" s="120">
        <f>'30-Year Projection'!L12</f>
        <v>3771.801795832866</v>
      </c>
      <c r="L10" s="120">
        <f>'30-Year Projection'!M12</f>
        <v>2257.2632598145447</v>
      </c>
      <c r="M10" s="120">
        <f>'30-Year Projection'!N12</f>
        <v>1140.093073248855</v>
      </c>
      <c r="N10">
        <f>SUM(ChartData!E$2:E10)</f>
        <v>117725.85220374854</v>
      </c>
      <c r="O10">
        <f>SUM(ChartData!I$2:I10)</f>
        <v>143337.92043375483</v>
      </c>
    </row>
    <row r="11" spans="1:15" ht="14.25" customHeight="1" x14ac:dyDescent="0.35">
      <c r="A11">
        <v>10</v>
      </c>
      <c r="B11" s="119">
        <f>'30-Year Projection'!C13</f>
        <v>44</v>
      </c>
      <c r="C11" s="120">
        <f>'30-Year Projection'!P13</f>
        <v>403022.73005742085</v>
      </c>
      <c r="D11" s="120">
        <f>'Real Returns'!F13</f>
        <v>314840.71257999633</v>
      </c>
      <c r="E11" s="120">
        <f>'30-Year Projection'!F13</f>
        <v>15537.029827131186</v>
      </c>
      <c r="F11" s="120">
        <f>'30-Year Projection'!G13</f>
        <v>6244.3148497383254</v>
      </c>
      <c r="G11" s="120">
        <f>'30-Year Projection'!H13</f>
        <v>2497.7259398953306</v>
      </c>
      <c r="H11" s="120">
        <f>'30-Year Projection'!I13</f>
        <v>24279.070616764842</v>
      </c>
      <c r="I11" s="120">
        <f>'30-Year Projection'!J13</f>
        <v>28049.375193853051</v>
      </c>
      <c r="J11" s="120">
        <f>'30-Year Projection'!K13</f>
        <v>3267.2017015304264</v>
      </c>
      <c r="K11" s="120">
        <f>'30-Year Projection'!L13</f>
        <v>4207.4062790779572</v>
      </c>
      <c r="L11" s="120">
        <f>'30-Year Projection'!M13</f>
        <v>2508.9458501339309</v>
      </c>
      <c r="M11" s="120">
        <f>'30-Year Projection'!N13</f>
        <v>1174.2958654463207</v>
      </c>
      <c r="N11">
        <f>SUM(ChartData!E$2:E11)</f>
        <v>133262.88203087973</v>
      </c>
      <c r="O11">
        <f>SUM(ChartData!I$2:I11)</f>
        <v>171387.29562760788</v>
      </c>
    </row>
    <row r="12" spans="1:15" ht="14.25" customHeight="1" x14ac:dyDescent="0.35">
      <c r="A12">
        <v>11</v>
      </c>
      <c r="B12" s="119">
        <f>'30-Year Projection'!C14</f>
        <v>45</v>
      </c>
      <c r="C12" s="120">
        <f>'30-Year Projection'!P14</f>
        <v>447194.29758454743</v>
      </c>
      <c r="D12" s="120">
        <f>'Real Returns'!F14</f>
        <v>340826.8005208855</v>
      </c>
      <c r="E12" s="120">
        <f>'30-Year Projection'!F14</f>
        <v>16080.825871080775</v>
      </c>
      <c r="F12" s="120">
        <f>'30-Year Projection'!G14</f>
        <v>6400.4227209817827</v>
      </c>
      <c r="G12" s="120">
        <f>'30-Year Projection'!H14</f>
        <v>2560.1690883927135</v>
      </c>
      <c r="H12" s="120">
        <f>'30-Year Projection'!I14</f>
        <v>25041.417680455274</v>
      </c>
      <c r="I12" s="120">
        <f>'30-Year Projection'!J14</f>
        <v>31165.757917323634</v>
      </c>
      <c r="J12" s="120">
        <f>'30-Year Projection'!K14</f>
        <v>3372.1872888093835</v>
      </c>
      <c r="K12" s="120">
        <f>'30-Year Projection'!L14</f>
        <v>4674.8636875985449</v>
      </c>
      <c r="L12" s="120">
        <f>'30-Year Projection'!M14</f>
        <v>2779.0323528347149</v>
      </c>
      <c r="M12" s="120">
        <f>'30-Year Projection'!N14</f>
        <v>1209.5247414097103</v>
      </c>
      <c r="N12">
        <f>SUM(ChartData!E$2:E12)</f>
        <v>149343.7079019605</v>
      </c>
      <c r="O12">
        <f>SUM(ChartData!I$2:I12)</f>
        <v>202553.05354493152</v>
      </c>
    </row>
    <row r="13" spans="1:15" ht="14.25" customHeight="1" x14ac:dyDescent="0.35">
      <c r="A13">
        <v>12</v>
      </c>
      <c r="B13" s="119">
        <f>'30-Year Projection'!C15</f>
        <v>46</v>
      </c>
      <c r="C13" s="120">
        <f>'30-Year Projection'!P15</f>
        <v>494559.34279098816</v>
      </c>
      <c r="D13" s="120">
        <f>'Real Returns'!F15</f>
        <v>367732.50983637926</v>
      </c>
      <c r="E13" s="120">
        <f>'30-Year Projection'!F15</f>
        <v>16643.654776568601</v>
      </c>
      <c r="F13" s="120">
        <f>'30-Year Projection'!G15</f>
        <v>6560.433289006327</v>
      </c>
      <c r="G13" s="120">
        <f>'30-Year Projection'!H15</f>
        <v>2624.1733156025311</v>
      </c>
      <c r="H13" s="120">
        <f>'30-Year Projection'!I15</f>
        <v>25828.261381177457</v>
      </c>
      <c r="I13" s="120">
        <f>'30-Year Projection'!J15</f>
        <v>34508.132120635208</v>
      </c>
      <c r="J13" s="120">
        <f>'30-Year Projection'!K15</f>
        <v>3480.6132098362391</v>
      </c>
      <c r="K13" s="120">
        <f>'30-Year Projection'!L15</f>
        <v>5176.219818095281</v>
      </c>
      <c r="L13" s="120">
        <f>'30-Year Projection'!M15</f>
        <v>3068.7047837883847</v>
      </c>
      <c r="M13" s="120">
        <f>'30-Year Projection'!N15</f>
        <v>1245.8104836520015</v>
      </c>
      <c r="N13">
        <f>SUM(ChartData!E$2:E13)</f>
        <v>165987.36267852911</v>
      </c>
      <c r="O13">
        <f>SUM(ChartData!I$2:I13)</f>
        <v>237061.18566556674</v>
      </c>
    </row>
    <row r="14" spans="1:15" ht="14.25" customHeight="1" x14ac:dyDescent="0.35">
      <c r="A14">
        <v>13</v>
      </c>
      <c r="B14" s="119">
        <f>'30-Year Projection'!C16</f>
        <v>47</v>
      </c>
      <c r="C14" s="120">
        <f>'30-Year Projection'!P16</f>
        <v>545322.0723866031</v>
      </c>
      <c r="D14" s="120">
        <f>'Real Returns'!F16</f>
        <v>395587.74260308529</v>
      </c>
      <c r="E14" s="120">
        <f>'30-Year Projection'!F16</f>
        <v>17226.182693748498</v>
      </c>
      <c r="F14" s="120">
        <f>'30-Year Projection'!G16</f>
        <v>6724.4441212314841</v>
      </c>
      <c r="G14" s="120">
        <f>'30-Year Projection'!H16</f>
        <v>2689.7776484925944</v>
      </c>
      <c r="H14" s="120">
        <f>'30-Year Projection'!I16</f>
        <v>26640.40446347258</v>
      </c>
      <c r="I14" s="120">
        <f>'30-Year Projection'!J16</f>
        <v>38090.965876704329</v>
      </c>
      <c r="J14" s="120">
        <f>'30-Year Projection'!K16</f>
        <v>3592.5940222469976</v>
      </c>
      <c r="K14" s="120">
        <f>'30-Year Projection'!L16</f>
        <v>5713.6448815056492</v>
      </c>
      <c r="L14" s="120">
        <f>'30-Year Projection'!M16</f>
        <v>3379.2170426477087</v>
      </c>
      <c r="M14" s="120">
        <f>'30-Year Projection'!N16</f>
        <v>1283.1847981615615</v>
      </c>
      <c r="N14">
        <f>SUM(ChartData!E$2:E14)</f>
        <v>183213.54537227761</v>
      </c>
      <c r="O14">
        <f>SUM(ChartData!I$2:I14)</f>
        <v>275152.15154227108</v>
      </c>
    </row>
    <row r="15" spans="1:15" ht="14.25" customHeight="1" x14ac:dyDescent="0.35">
      <c r="A15">
        <v>14</v>
      </c>
      <c r="B15" s="119">
        <f>'30-Year Projection'!C17</f>
        <v>48</v>
      </c>
      <c r="C15" s="120">
        <f>'30-Year Projection'!P17</f>
        <v>599699.08605578996</v>
      </c>
      <c r="D15" s="120">
        <f>'Real Returns'!F17</f>
        <v>424423.35247407551</v>
      </c>
      <c r="E15" s="120">
        <f>'30-Year Projection'!F17</f>
        <v>17829.099088029696</v>
      </c>
      <c r="F15" s="120">
        <f>'30-Year Projection'!G17</f>
        <v>6892.5552242622707</v>
      </c>
      <c r="G15" s="120">
        <f>'30-Year Projection'!H17</f>
        <v>2757.0220897049089</v>
      </c>
      <c r="H15" s="120">
        <f>'30-Year Projection'!I17</f>
        <v>27478.676401996876</v>
      </c>
      <c r="I15" s="120">
        <f>'30-Year Projection'!J17</f>
        <v>41929.605794070121</v>
      </c>
      <c r="J15" s="120">
        <f>'30-Year Projection'!K17</f>
        <v>3708.248146843795</v>
      </c>
      <c r="K15" s="120">
        <f>'30-Year Projection'!L17</f>
        <v>6289.4408691105182</v>
      </c>
      <c r="L15" s="120">
        <f>'30-Year Projection'!M17</f>
        <v>3711.8991688194101</v>
      </c>
      <c r="M15" s="120">
        <f>'30-Year Projection'!N17</f>
        <v>1321.6803421064085</v>
      </c>
      <c r="N15">
        <f>SUM(ChartData!E$2:E15)</f>
        <v>201042.64446030732</v>
      </c>
      <c r="O15">
        <f>SUM(ChartData!I$2:I15)</f>
        <v>317081.75733634119</v>
      </c>
    </row>
    <row r="16" spans="1:15" ht="14.25" customHeight="1" x14ac:dyDescent="0.35">
      <c r="A16">
        <v>15</v>
      </c>
      <c r="B16" s="119">
        <f>'30-Year Projection'!C18</f>
        <v>49</v>
      </c>
      <c r="C16" s="120">
        <f>'30-Year Projection'!P18</f>
        <v>657920.10940331582</v>
      </c>
      <c r="D16" s="120">
        <f>'Real Returns'!F18</f>
        <v>454271.17469472694</v>
      </c>
      <c r="E16" s="120">
        <f>'30-Year Projection'!F18</f>
        <v>18453.117556110734</v>
      </c>
      <c r="F16" s="120">
        <f>'30-Year Projection'!G18</f>
        <v>7064.869104868827</v>
      </c>
      <c r="G16" s="120">
        <f>'30-Year Projection'!H18</f>
        <v>2825.9476419475313</v>
      </c>
      <c r="H16" s="120">
        <f>'30-Year Projection'!I18</f>
        <v>28343.934302927093</v>
      </c>
      <c r="I16" s="120">
        <f>'30-Year Projection'!J18</f>
        <v>46040.328990544011</v>
      </c>
      <c r="J16" s="120">
        <f>'30-Year Projection'!K18</f>
        <v>3827.6979991469339</v>
      </c>
      <c r="K16" s="120">
        <f>'30-Year Projection'!L18</f>
        <v>6906.0493485816014</v>
      </c>
      <c r="L16" s="120">
        <f>'30-Year Projection'!M18</f>
        <v>4068.1618458471471</v>
      </c>
      <c r="M16" s="120">
        <f>'30-Year Projection'!N18</f>
        <v>1361.3307523696008</v>
      </c>
      <c r="N16">
        <f>SUM(ChartData!E$2:E16)</f>
        <v>219495.76201641804</v>
      </c>
      <c r="O16">
        <f>SUM(ChartData!I$2:I16)</f>
        <v>363122.08632688521</v>
      </c>
    </row>
    <row r="17" spans="1:15" ht="14.25" customHeight="1" x14ac:dyDescent="0.35">
      <c r="A17">
        <v>16</v>
      </c>
      <c r="B17" s="119">
        <f>'30-Year Projection'!C19</f>
        <v>50</v>
      </c>
      <c r="C17" s="120">
        <f>'30-Year Projection'!P19</f>
        <v>720228.76965462381</v>
      </c>
      <c r="D17" s="120">
        <f>'Real Returns'!F19</f>
        <v>485164.05706442683</v>
      </c>
      <c r="E17" s="120">
        <f>'30-Year Projection'!F19</f>
        <v>19098.976670574608</v>
      </c>
      <c r="F17" s="120">
        <f>'30-Year Projection'!G19</f>
        <v>7241.4908324905473</v>
      </c>
      <c r="G17" s="120">
        <f>'30-Year Projection'!H19</f>
        <v>2896.5963329962192</v>
      </c>
      <c r="H17" s="120">
        <f>'30-Year Projection'!I19</f>
        <v>29237.063836061374</v>
      </c>
      <c r="I17" s="120">
        <f>'30-Year Projection'!J19</f>
        <v>50440.398099100988</v>
      </c>
      <c r="J17" s="120">
        <f>'30-Year Projection'!K19</f>
        <v>3951.0701254597734</v>
      </c>
      <c r="K17" s="120">
        <f>'30-Year Projection'!L19</f>
        <v>7566.0597148651477</v>
      </c>
      <c r="L17" s="120">
        <f>'30-Year Projection'!M19</f>
        <v>4449.5011685887521</v>
      </c>
      <c r="M17" s="120">
        <f>'30-Year Projection'!N19</f>
        <v>1402.1706749406887</v>
      </c>
      <c r="N17">
        <f>SUM(ChartData!E$2:E17)</f>
        <v>238594.73868699264</v>
      </c>
      <c r="O17">
        <f>SUM(ChartData!I$2:I17)</f>
        <v>413562.48442598619</v>
      </c>
    </row>
    <row r="18" spans="1:15" ht="14.25" customHeight="1" x14ac:dyDescent="0.35">
      <c r="A18">
        <v>17</v>
      </c>
      <c r="B18" s="119">
        <f>'30-Year Projection'!C20</f>
        <v>51</v>
      </c>
      <c r="C18" s="120">
        <f>'30-Year Projection'!P20</f>
        <v>786883.41658541549</v>
      </c>
      <c r="D18" s="120">
        <f>'Real Returns'!F20</f>
        <v>517135.89187389659</v>
      </c>
      <c r="E18" s="120">
        <f>'30-Year Projection'!F20</f>
        <v>19767.440854044715</v>
      </c>
      <c r="F18" s="120">
        <f>'30-Year Projection'!G20</f>
        <v>7422.5281033028105</v>
      </c>
      <c r="G18" s="120">
        <f>'30-Year Projection'!H20</f>
        <v>2969.0112413211245</v>
      </c>
      <c r="H18" s="120">
        <f>'30-Year Projection'!I20</f>
        <v>30158.980198668651</v>
      </c>
      <c r="I18" s="120">
        <f>'30-Year Projection'!J20</f>
        <v>55148.119481546855</v>
      </c>
      <c r="J18" s="120">
        <f>'30-Year Projection'!K20</f>
        <v>4078.4953436021287</v>
      </c>
      <c r="K18" s="120">
        <f>'30-Year Projection'!L20</f>
        <v>8272.2179222320283</v>
      </c>
      <c r="L18" s="120">
        <f>'30-Year Projection'!M20</f>
        <v>4857.5036884007277</v>
      </c>
      <c r="M18" s="120">
        <f>'30-Year Projection'!N20</f>
        <v>1444.2357951889094</v>
      </c>
      <c r="N18">
        <f>SUM(ChartData!E$2:E18)</f>
        <v>258362.17954103736</v>
      </c>
      <c r="O18">
        <f>SUM(ChartData!I$2:I18)</f>
        <v>468710.60390753305</v>
      </c>
    </row>
    <row r="19" spans="1:15" ht="14.25" customHeight="1" x14ac:dyDescent="0.35">
      <c r="A19">
        <v>18</v>
      </c>
      <c r="B19" s="119">
        <f>'30-Year Projection'!C21</f>
        <v>52</v>
      </c>
      <c r="C19" s="120">
        <f>'30-Year Projection'!P21</f>
        <v>858157.99129792454</v>
      </c>
      <c r="D19" s="120">
        <f>'Real Returns'!F21</f>
        <v>550221.64884883002</v>
      </c>
      <c r="E19" s="120">
        <f>'30-Year Projection'!F21</f>
        <v>20459.301283936278</v>
      </c>
      <c r="F19" s="120">
        <f>'30-Year Projection'!G21</f>
        <v>7608.0913058853803</v>
      </c>
      <c r="G19" s="120">
        <f>'30-Year Projection'!H21</f>
        <v>3043.2365223541524</v>
      </c>
      <c r="H19" s="120">
        <f>'30-Year Projection'!I21</f>
        <v>31110.629112175811</v>
      </c>
      <c r="I19" s="120">
        <f>'30-Year Projection'!J21</f>
        <v>60182.904835612753</v>
      </c>
      <c r="J19" s="120">
        <f>'30-Year Projection'!K21</f>
        <v>4210.108888473249</v>
      </c>
      <c r="K19" s="120">
        <f>'30-Year Projection'!L21</f>
        <v>9027.435725341913</v>
      </c>
      <c r="L19" s="120">
        <f>'30-Year Projection'!M21</f>
        <v>5293.8517524197723</v>
      </c>
      <c r="M19" s="120">
        <f>'30-Year Projection'!N21</f>
        <v>1487.5628690445767</v>
      </c>
      <c r="N19">
        <f>SUM(ChartData!E$2:E19)</f>
        <v>278821.48082497367</v>
      </c>
      <c r="O19">
        <f>SUM(ChartData!I$2:I19)</f>
        <v>528893.50874314585</v>
      </c>
    </row>
    <row r="20" spans="1:15" ht="14.25" customHeight="1" x14ac:dyDescent="0.35">
      <c r="A20">
        <v>19</v>
      </c>
      <c r="B20" s="119">
        <f>'30-Year Projection'!C22</f>
        <v>53</v>
      </c>
      <c r="C20" s="120">
        <f>'30-Year Projection'!P22</f>
        <v>934342.94561211031</v>
      </c>
      <c r="D20" s="120">
        <f>'Real Returns'!F22</f>
        <v>584457.40913150436</v>
      </c>
      <c r="E20" s="120">
        <f>'30-Year Projection'!F22</f>
        <v>21175.37682887405</v>
      </c>
      <c r="F20" s="120">
        <f>'30-Year Projection'!G22</f>
        <v>7798.2935885325141</v>
      </c>
      <c r="G20" s="120">
        <f>'30-Year Projection'!H22</f>
        <v>3119.317435413006</v>
      </c>
      <c r="H20" s="120">
        <f>'30-Year Projection'!I22</f>
        <v>32092.98785281957</v>
      </c>
      <c r="I20" s="120">
        <f>'30-Year Projection'!J22</f>
        <v>65565.336391825069</v>
      </c>
      <c r="J20" s="120">
        <f>'30-Year Projection'!K22</f>
        <v>4346.0505626109843</v>
      </c>
      <c r="K20" s="120">
        <f>'30-Year Projection'!L22</f>
        <v>9834.8004587737596</v>
      </c>
      <c r="L20" s="120">
        <f>'30-Year Projection'!M22</f>
        <v>5760.3291539581724</v>
      </c>
      <c r="M20" s="120">
        <f>'30-Year Projection'!N22</f>
        <v>1532.1897551159141</v>
      </c>
      <c r="N20">
        <f>SUM(ChartData!E$2:E20)</f>
        <v>299996.85765384772</v>
      </c>
      <c r="O20">
        <f>SUM(ChartData!I$2:I20)</f>
        <v>594458.84513497096</v>
      </c>
    </row>
    <row r="21" spans="1:15" ht="14.25" customHeight="1" x14ac:dyDescent="0.35">
      <c r="A21">
        <v>20</v>
      </c>
      <c r="B21" s="119">
        <f>'30-Year Projection'!C23</f>
        <v>54</v>
      </c>
      <c r="C21" s="120">
        <f>'30-Year Projection'!P23</f>
        <v>1015746.2149994798</v>
      </c>
      <c r="D21" s="120">
        <f>'Real Returns'!F23</f>
        <v>619880.40033302072</v>
      </c>
      <c r="E21" s="120">
        <f>'30-Year Projection'!F23</f>
        <v>21916.515017884638</v>
      </c>
      <c r="F21" s="120">
        <f>'30-Year Projection'!G23</f>
        <v>7993.2509282458259</v>
      </c>
      <c r="G21" s="120">
        <f>'30-Year Projection'!H23</f>
        <v>3197.3003712983309</v>
      </c>
      <c r="H21" s="120">
        <f>'30-Year Projection'!I23</f>
        <v>33107.066317428798</v>
      </c>
      <c r="I21" s="120">
        <f>'30-Year Projection'!J23</f>
        <v>71317.235907811846</v>
      </c>
      <c r="J21" s="120">
        <f>'30-Year Projection'!K23</f>
        <v>4486.4648919195697</v>
      </c>
      <c r="K21" s="120">
        <f>'30-Year Projection'!L23</f>
        <v>10697.585386171777</v>
      </c>
      <c r="L21" s="120">
        <f>'30-Year Projection'!M23</f>
        <v>6258.8271120103609</v>
      </c>
      <c r="M21" s="120">
        <f>'30-Year Projection'!N23</f>
        <v>1578.1554477693915</v>
      </c>
      <c r="N21">
        <f>SUM(ChartData!E$2:E21)</f>
        <v>321913.37267173233</v>
      </c>
      <c r="O21">
        <f>SUM(ChartData!I$2:I21)</f>
        <v>665776.08104278287</v>
      </c>
    </row>
    <row r="22" spans="1:15" ht="14.25" customHeight="1" x14ac:dyDescent="0.35">
      <c r="A22">
        <v>21</v>
      </c>
      <c r="B22" s="119">
        <f>'30-Year Projection'!C24</f>
        <v>55</v>
      </c>
      <c r="C22" s="120">
        <f>'30-Year Projection'!P24</f>
        <v>1102694.2481558903</v>
      </c>
      <c r="D22" s="120">
        <f>'Real Returns'!F24</f>
        <v>656529.03268985788</v>
      </c>
      <c r="E22" s="120">
        <f>'30-Year Projection'!F24</f>
        <v>22683.593043510595</v>
      </c>
      <c r="F22" s="120">
        <f>'30-Year Projection'!G24</f>
        <v>8193.0822014519708</v>
      </c>
      <c r="G22" s="120">
        <f>'30-Year Projection'!H24</f>
        <v>3277.2328805807888</v>
      </c>
      <c r="H22" s="120">
        <f>'30-Year Projection'!I24</f>
        <v>34153.908125543356</v>
      </c>
      <c r="I22" s="120">
        <f>'30-Year Projection'!J24</f>
        <v>77461.737679668862</v>
      </c>
      <c r="J22" s="120">
        <f>'30-Year Projection'!K24</f>
        <v>4631.5012867443847</v>
      </c>
      <c r="K22" s="120">
        <f>'30-Year Projection'!L24</f>
        <v>11619.26065195033</v>
      </c>
      <c r="L22" s="120">
        <f>'30-Year Projection'!M24</f>
        <v>6791.3505989046344</v>
      </c>
      <c r="M22" s="120">
        <f>'30-Year Projection'!N24</f>
        <v>1625.5001112024731</v>
      </c>
      <c r="N22">
        <f>SUM(ChartData!E$2:E22)</f>
        <v>344596.9657152429</v>
      </c>
      <c r="O22">
        <f>SUM(ChartData!I$2:I22)</f>
        <v>743237.81872245169</v>
      </c>
    </row>
    <row r="23" spans="1:15" ht="14.25" customHeight="1" x14ac:dyDescent="0.35">
      <c r="A23">
        <v>22</v>
      </c>
      <c r="B23" s="119">
        <f>'30-Year Projection'!C25</f>
        <v>56</v>
      </c>
      <c r="C23" s="120">
        <f>'30-Year Projection'!P25</f>
        <v>1195533.0964880199</v>
      </c>
      <c r="D23" s="120">
        <f>'Real Returns'!F25</f>
        <v>694442.93635948224</v>
      </c>
      <c r="E23" s="120">
        <f>'30-Year Projection'!F25</f>
        <v>23477.518800033467</v>
      </c>
      <c r="F23" s="120">
        <f>'30-Year Projection'!G25</f>
        <v>8397.9092564882685</v>
      </c>
      <c r="G23" s="120">
        <f>'30-Year Projection'!H25</f>
        <v>3359.1637025953082</v>
      </c>
      <c r="H23" s="120">
        <f>'30-Year Projection'!I25</f>
        <v>35234.591759117044</v>
      </c>
      <c r="I23" s="120">
        <f>'30-Year Projection'!J25</f>
        <v>84023.365802658649</v>
      </c>
      <c r="J23" s="120">
        <f>'30-Year Projection'!K25</f>
        <v>4781.3142084782603</v>
      </c>
      <c r="K23" s="120">
        <f>'30-Year Projection'!L25</f>
        <v>12603.504870398798</v>
      </c>
      <c r="L23" s="120">
        <f>'30-Year Projection'!M25</f>
        <v>7360.0250362304159</v>
      </c>
      <c r="M23" s="120">
        <f>'30-Year Projection'!N25</f>
        <v>1674.2651145385473</v>
      </c>
      <c r="N23">
        <f>SUM(ChartData!E$2:E23)</f>
        <v>368074.48451527639</v>
      </c>
      <c r="O23">
        <f>SUM(ChartData!I$2:I23)</f>
        <v>827261.18452511029</v>
      </c>
    </row>
    <row r="24" spans="1:15" ht="14.25" customHeight="1" x14ac:dyDescent="0.35">
      <c r="A24">
        <v>23</v>
      </c>
      <c r="B24" s="119">
        <f>'30-Year Projection'!C26</f>
        <v>57</v>
      </c>
      <c r="C24" s="120">
        <f>'30-Year Projection'!P26</f>
        <v>1294629.5669767782</v>
      </c>
      <c r="D24" s="120">
        <f>'Real Returns'!F26</f>
        <v>733662.99989085505</v>
      </c>
      <c r="E24" s="120">
        <f>'30-Year Projection'!F26</f>
        <v>24299.231958034638</v>
      </c>
      <c r="F24" s="120">
        <f>'30-Year Projection'!G26</f>
        <v>8607.8569879004754</v>
      </c>
      <c r="G24" s="120">
        <f>'30-Year Projection'!H26</f>
        <v>3443.1427951601904</v>
      </c>
      <c r="H24" s="120">
        <f>'30-Year Projection'!I26</f>
        <v>36350.231741095304</v>
      </c>
      <c r="I24" s="120">
        <f>'30-Year Projection'!J26</f>
        <v>91028.115926892569</v>
      </c>
      <c r="J24" s="120">
        <f>'30-Year Projection'!K26</f>
        <v>4936.0633418902671</v>
      </c>
      <c r="K24" s="120">
        <f>'30-Year Projection'!L26</f>
        <v>13654.217389033885</v>
      </c>
      <c r="L24" s="120">
        <f>'30-Year Projection'!M26</f>
        <v>7967.1033803306891</v>
      </c>
      <c r="M24" s="120">
        <f>'30-Year Projection'!N26</f>
        <v>1724.4930679747038</v>
      </c>
      <c r="N24">
        <f>SUM(ChartData!E$2:E24)</f>
        <v>392373.71647331101</v>
      </c>
      <c r="O24">
        <f>SUM(ChartData!I$2:I24)</f>
        <v>918289.30045200291</v>
      </c>
    </row>
    <row r="25" spans="1:15" ht="14.25" customHeight="1" x14ac:dyDescent="0.35">
      <c r="A25">
        <v>24</v>
      </c>
      <c r="B25" s="119">
        <f>'30-Year Projection'!C27</f>
        <v>58</v>
      </c>
      <c r="C25" s="120">
        <f>'30-Year Projection'!P27</f>
        <v>1400372.4420803399</v>
      </c>
      <c r="D25" s="120">
        <f>'Real Returns'!F27</f>
        <v>774231.40990679804</v>
      </c>
      <c r="E25" s="120">
        <f>'30-Year Projection'!F27</f>
        <v>25149.705076565846</v>
      </c>
      <c r="F25" s="120">
        <f>'30-Year Projection'!G27</f>
        <v>8823.0534125979866</v>
      </c>
      <c r="G25" s="120">
        <f>'30-Year Projection'!H27</f>
        <v>3529.221365039195</v>
      </c>
      <c r="H25" s="120">
        <f>'30-Year Projection'!I27</f>
        <v>37501.979854203026</v>
      </c>
      <c r="I25" s="120">
        <f>'30-Year Projection'!J27</f>
        <v>98503.541767790972</v>
      </c>
      <c r="J25" s="120">
        <f>'30-Year Projection'!K27</f>
        <v>5095.9137733745747</v>
      </c>
      <c r="K25" s="120">
        <f>'30-Year Projection'!L27</f>
        <v>14775.531265168645</v>
      </c>
      <c r="L25" s="120">
        <f>'30-Year Projection'!M27</f>
        <v>8614.973619875218</v>
      </c>
      <c r="M25" s="120">
        <f>'30-Year Projection'!N27</f>
        <v>1776.227860013945</v>
      </c>
      <c r="N25">
        <f>SUM(ChartData!E$2:E25)</f>
        <v>417523.42154987686</v>
      </c>
      <c r="O25">
        <f>SUM(ChartData!I$2:I25)</f>
        <v>1016792.8422197939</v>
      </c>
    </row>
    <row r="26" spans="1:15" ht="14.25" customHeight="1" x14ac:dyDescent="0.35">
      <c r="A26">
        <v>25</v>
      </c>
      <c r="B26" s="119">
        <f>'30-Year Projection'!C28</f>
        <v>59</v>
      </c>
      <c r="C26" s="120">
        <f>'30-Year Projection'!P28</f>
        <v>1513173.7705503628</v>
      </c>
      <c r="D26" s="120">
        <f>'Real Returns'!F28</f>
        <v>816191.69203634956</v>
      </c>
      <c r="E26" s="120">
        <f>'30-Year Projection'!F28</f>
        <v>26029.944754245647</v>
      </c>
      <c r="F26" s="120">
        <f>'30-Year Projection'!G28</f>
        <v>9043.6297479129353</v>
      </c>
      <c r="G26" s="120">
        <f>'30-Year Projection'!H28</f>
        <v>3617.4518991651744</v>
      </c>
      <c r="H26" s="120">
        <f>'30-Year Projection'!I28</f>
        <v>38691.026401323754</v>
      </c>
      <c r="I26" s="120">
        <f>'30-Year Projection'!J28</f>
        <v>106478.84664607512</v>
      </c>
      <c r="J26" s="120">
        <f>'30-Year Projection'!K28</f>
        <v>5261.0361753237876</v>
      </c>
      <c r="K26" s="120">
        <f>'30-Year Projection'!L28</f>
        <v>15971.826996911268</v>
      </c>
      <c r="L26" s="120">
        <f>'30-Year Projection'!M28</f>
        <v>9306.1667093265114</v>
      </c>
      <c r="M26" s="120">
        <f>'30-Year Projection'!N28</f>
        <v>1829.5146958143634</v>
      </c>
      <c r="N26">
        <f>SUM(ChartData!E$2:E26)</f>
        <v>443553.36630412249</v>
      </c>
      <c r="O26">
        <f>SUM(ChartData!I$2:I26)</f>
        <v>1123271.6888658691</v>
      </c>
    </row>
    <row r="27" spans="1:15" ht="14.25" customHeight="1" x14ac:dyDescent="0.35">
      <c r="A27">
        <v>26</v>
      </c>
      <c r="B27" s="119">
        <f>'30-Year Projection'!C29</f>
        <v>60</v>
      </c>
      <c r="C27" s="120">
        <f>'30-Year Projection'!P29</f>
        <v>1633470.2332579356</v>
      </c>
      <c r="D27" s="120">
        <f>'Real Returns'!F29</f>
        <v>859588.75313643971</v>
      </c>
      <c r="E27" s="120">
        <f>'30-Year Projection'!F29</f>
        <v>26940.992820644246</v>
      </c>
      <c r="F27" s="120">
        <f>'30-Year Projection'!G29</f>
        <v>9269.7204916107585</v>
      </c>
      <c r="G27" s="120">
        <f>'30-Year Projection'!H29</f>
        <v>3707.8881966443032</v>
      </c>
      <c r="H27" s="120">
        <f>'30-Year Projection'!I29</f>
        <v>39918.601508899301</v>
      </c>
      <c r="I27" s="120">
        <f>'30-Year Projection'!J29</f>
        <v>114984.98034786092</v>
      </c>
      <c r="J27" s="120">
        <f>'30-Year Projection'!K29</f>
        <v>5431.6069968382499</v>
      </c>
      <c r="K27" s="120">
        <f>'30-Year Projection'!L29</f>
        <v>17247.747052179137</v>
      </c>
      <c r="L27" s="120">
        <f>'30-Year Projection'!M29</f>
        <v>10043.364963481279</v>
      </c>
      <c r="M27" s="120">
        <f>'30-Year Projection'!N29</f>
        <v>1884.4001366887944</v>
      </c>
      <c r="N27">
        <f>SUM(ChartData!E$2:E27)</f>
        <v>470494.35912476672</v>
      </c>
      <c r="O27">
        <f>SUM(ChartData!I$2:I27)</f>
        <v>1238256.6692137299</v>
      </c>
    </row>
    <row r="28" spans="1:15" ht="14.25" customHeight="1" x14ac:dyDescent="0.35">
      <c r="A28">
        <v>27</v>
      </c>
      <c r="B28" s="119">
        <f>'30-Year Projection'!C30</f>
        <v>61</v>
      </c>
      <c r="C28" s="120">
        <f>'30-Year Projection'!P30</f>
        <v>1761724.588361593</v>
      </c>
      <c r="D28" s="120">
        <f>'Real Returns'!F30</f>
        <v>904468.92484345008</v>
      </c>
      <c r="E28" s="120">
        <f>'30-Year Projection'!F30</f>
        <v>27883.927569366788</v>
      </c>
      <c r="F28" s="120">
        <f>'30-Year Projection'!G30</f>
        <v>9501.4635039010263</v>
      </c>
      <c r="G28" s="120">
        <f>'30-Year Projection'!H30</f>
        <v>3800.5854015604104</v>
      </c>
      <c r="H28" s="120">
        <f>'30-Year Projection'!I30</f>
        <v>41185.976474828225</v>
      </c>
      <c r="I28" s="120">
        <f>'30-Year Projection'!J30</f>
        <v>124054.74161215122</v>
      </c>
      <c r="J28" s="120">
        <f>'30-Year Projection'!K30</f>
        <v>5607.808660990172</v>
      </c>
      <c r="K28" s="120">
        <f>'30-Year Projection'!L30</f>
        <v>18608.211241822682</v>
      </c>
      <c r="L28" s="120">
        <f>'30-Year Projection'!M30</f>
        <v>10829.410939719772</v>
      </c>
      <c r="M28" s="120">
        <f>'30-Year Projection'!N30</f>
        <v>1940.9321407894583</v>
      </c>
      <c r="N28">
        <f>SUM(ChartData!E$2:E28)</f>
        <v>498378.28669413354</v>
      </c>
      <c r="O28">
        <f>SUM(ChartData!I$2:I28)</f>
        <v>1362311.4108258812</v>
      </c>
    </row>
    <row r="29" spans="1:15" ht="14.25" customHeight="1" x14ac:dyDescent="0.35">
      <c r="A29">
        <v>28</v>
      </c>
      <c r="B29" s="119">
        <f>'30-Year Projection'!C31</f>
        <v>62</v>
      </c>
      <c r="C29" s="120">
        <f>'30-Year Projection'!P31</f>
        <v>1898427.2003990782</v>
      </c>
      <c r="D29" s="120">
        <f>'Real Returns'!F31</f>
        <v>950880.00849650369</v>
      </c>
      <c r="E29" s="120">
        <f>'30-Year Projection'!F31</f>
        <v>28859.865034294624</v>
      </c>
      <c r="F29" s="120">
        <f>'30-Year Projection'!G31</f>
        <v>9739.0000914985503</v>
      </c>
      <c r="G29" s="120">
        <f>'30-Year Projection'!H31</f>
        <v>3895.6000365994205</v>
      </c>
      <c r="H29" s="120">
        <f>'30-Year Projection'!I31</f>
        <v>42494.465162392597</v>
      </c>
      <c r="I29" s="120">
        <f>'30-Year Projection'!J31</f>
        <v>133722.8865707092</v>
      </c>
      <c r="J29" s="120">
        <f>'30-Year Projection'!K31</f>
        <v>5789.8297688689763</v>
      </c>
      <c r="K29" s="120">
        <f>'30-Year Projection'!L31</f>
        <v>20058.432985606381</v>
      </c>
      <c r="L29" s="120">
        <f>'30-Year Projection'!M31</f>
        <v>11667.31683612813</v>
      </c>
      <c r="M29" s="120">
        <f>'30-Year Projection'!N31</f>
        <v>1999.1601050131421</v>
      </c>
      <c r="N29">
        <f>SUM(ChartData!E$2:E29)</f>
        <v>527238.1517284282</v>
      </c>
      <c r="O29">
        <f>SUM(ChartData!I$2:I29)</f>
        <v>1496034.2973965905</v>
      </c>
    </row>
    <row r="30" spans="1:15" ht="14.25" customHeight="1" x14ac:dyDescent="0.35">
      <c r="A30">
        <v>29</v>
      </c>
      <c r="B30" s="119">
        <f>'30-Year Projection'!C32</f>
        <v>63</v>
      </c>
      <c r="C30" s="120">
        <f>'30-Year Projection'!P32</f>
        <v>2044097.6581481865</v>
      </c>
      <c r="D30" s="120">
        <f>'Real Returns'!F32</f>
        <v>998871.32147564285</v>
      </c>
      <c r="E30" s="120">
        <f>'30-Year Projection'!F32</f>
        <v>29869.960310494935</v>
      </c>
      <c r="F30" s="120">
        <f>'30-Year Projection'!G32</f>
        <v>9982.4750937860135</v>
      </c>
      <c r="G30" s="120">
        <f>'30-Year Projection'!H32</f>
        <v>3992.9900375144057</v>
      </c>
      <c r="H30" s="120">
        <f>'30-Year Projection'!I32</f>
        <v>43845.425441795356</v>
      </c>
      <c r="I30" s="120">
        <f>'30-Year Projection'!J32</f>
        <v>144026.2434839982</v>
      </c>
      <c r="J30" s="120">
        <f>'30-Year Projection'!K32</f>
        <v>5977.8653106421425</v>
      </c>
      <c r="K30" s="120">
        <f>'30-Year Projection'!L32</f>
        <v>21603.936522599728</v>
      </c>
      <c r="L30" s="120">
        <f>'30-Year Projection'!M32</f>
        <v>12560.274435279844</v>
      </c>
      <c r="M30" s="120">
        <f>'30-Year Projection'!N32</f>
        <v>2059.1349081635362</v>
      </c>
      <c r="N30">
        <f>SUM(ChartData!E$2:E30)</f>
        <v>557108.11203892319</v>
      </c>
      <c r="O30">
        <f>SUM(ChartData!I$2:I30)</f>
        <v>1640060.5408805886</v>
      </c>
    </row>
    <row r="31" spans="1:15" ht="14.25" customHeight="1" x14ac:dyDescent="0.35">
      <c r="A31">
        <v>30</v>
      </c>
      <c r="B31" s="119">
        <f>'30-Year Projection'!C33</f>
        <v>64</v>
      </c>
      <c r="C31" s="120">
        <f>'30-Year Projection'!P33</f>
        <v>2199286.4863808248</v>
      </c>
      <c r="D31" s="120">
        <f>'Real Returns'!F33</f>
        <v>1048493.7449994171</v>
      </c>
      <c r="E31" s="120">
        <f>'30-Year Projection'!F33</f>
        <v>30915.408921362257</v>
      </c>
      <c r="F31" s="120">
        <f>'30-Year Projection'!G33</f>
        <v>10232.036971130663</v>
      </c>
      <c r="G31" s="120">
        <f>'30-Year Projection'!H33</f>
        <v>4092.8147884522655</v>
      </c>
      <c r="H31" s="120">
        <f>'30-Year Projection'!I33</f>
        <v>45240.260680945183</v>
      </c>
      <c r="I31" s="120">
        <f>'30-Year Projection'!J33</f>
        <v>155003.83413664941</v>
      </c>
      <c r="J31" s="120">
        <f>'30-Year Projection'!K33</f>
        <v>6172.1168838739377</v>
      </c>
      <c r="K31" s="120">
        <f>'30-Year Projection'!L33</f>
        <v>23250.575120497411</v>
      </c>
      <c r="L31" s="120">
        <f>'30-Year Projection'!M33</f>
        <v>13511.665625176283</v>
      </c>
      <c r="M31" s="120">
        <f>'30-Year Projection'!N33</f>
        <v>2120.9089554084426</v>
      </c>
      <c r="N31">
        <f>SUM(ChartData!E$2:E31)</f>
        <v>588023.52096028544</v>
      </c>
      <c r="O31">
        <f>SUM(ChartData!I$2:I31)</f>
        <v>1795064.3750172381</v>
      </c>
    </row>
  </sheetData>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A8C6B"/>
  </sheetPr>
  <dimension ref="A1:V94"/>
  <sheetViews>
    <sheetView showGridLines="0" zoomScaleNormal="100" workbookViewId="0">
      <pane xSplit="2" ySplit="5" topLeftCell="C21" activePane="bottomRight" state="frozen"/>
      <selection pane="topRight" activeCell="C1" sqref="C1"/>
      <selection pane="bottomLeft" activeCell="A21" sqref="A21"/>
      <selection pane="bottomRight" sqref="A1:V1"/>
    </sheetView>
  </sheetViews>
  <sheetFormatPr defaultColWidth="8.6328125" defaultRowHeight="14.5" x14ac:dyDescent="0.35"/>
  <cols>
    <col min="1" max="1" width="2" customWidth="1"/>
    <col min="2" max="2" width="28" customWidth="1"/>
    <col min="3" max="6" width="14" customWidth="1"/>
    <col min="7" max="7" width="2" customWidth="1"/>
    <col min="8" max="8" width="28" customWidth="1"/>
    <col min="9" max="9" width="16" customWidth="1"/>
    <col min="10" max="10" width="2" customWidth="1"/>
    <col min="11" max="11" width="28" customWidth="1"/>
    <col min="12" max="12" width="16" customWidth="1"/>
    <col min="13" max="13" width="2" customWidth="1"/>
    <col min="14" max="14" width="28" customWidth="1"/>
    <col min="15" max="15" width="16" customWidth="1"/>
    <col min="16" max="16" width="2" customWidth="1"/>
    <col min="17" max="17" width="28" customWidth="1"/>
    <col min="18" max="18" width="16" customWidth="1"/>
    <col min="19" max="19" width="2" customWidth="1"/>
    <col min="20" max="20" width="22" customWidth="1"/>
    <col min="21" max="22" width="2" customWidth="1"/>
  </cols>
  <sheetData>
    <row r="1" spans="1:22" ht="43.5" customHeight="1" x14ac:dyDescent="0.35">
      <c r="A1" s="314" t="s">
        <v>512</v>
      </c>
      <c r="B1" s="314"/>
      <c r="C1" s="314"/>
      <c r="D1" s="314"/>
      <c r="E1" s="314"/>
      <c r="F1" s="314"/>
      <c r="G1" s="314"/>
      <c r="H1" s="314"/>
      <c r="I1" s="314"/>
      <c r="J1" s="314"/>
      <c r="K1" s="314"/>
      <c r="L1" s="314"/>
      <c r="M1" s="314"/>
      <c r="N1" s="314"/>
      <c r="O1" s="314"/>
      <c r="P1" s="314"/>
      <c r="Q1" s="314"/>
      <c r="R1" s="314"/>
      <c r="S1" s="314"/>
      <c r="T1" s="314"/>
      <c r="U1" s="314"/>
      <c r="V1" s="314"/>
    </row>
    <row r="2" spans="1:22" ht="18" customHeight="1" x14ac:dyDescent="0.35">
      <c r="A2" s="322" t="s">
        <v>513</v>
      </c>
      <c r="B2" s="322"/>
      <c r="C2" s="322"/>
      <c r="D2" s="322"/>
      <c r="E2" s="322"/>
      <c r="F2" s="322"/>
      <c r="G2" s="322"/>
      <c r="H2" s="322"/>
      <c r="I2" s="322"/>
      <c r="J2" s="322"/>
      <c r="K2" s="322"/>
      <c r="L2" s="322"/>
      <c r="M2" s="322"/>
      <c r="N2" s="322"/>
      <c r="O2" s="322"/>
      <c r="P2" s="322"/>
      <c r="Q2" s="322"/>
      <c r="R2" s="322"/>
      <c r="S2" s="322"/>
      <c r="T2" s="322"/>
      <c r="U2" s="322"/>
      <c r="V2" s="322"/>
    </row>
    <row r="3" spans="1:22" ht="7.5" customHeight="1" x14ac:dyDescent="0.35">
      <c r="A3" s="19"/>
      <c r="B3" s="19"/>
      <c r="C3" s="19"/>
      <c r="D3" s="19"/>
      <c r="E3" s="19"/>
      <c r="F3" s="19"/>
      <c r="G3" s="19"/>
      <c r="H3" s="19"/>
      <c r="I3" s="19"/>
      <c r="J3" s="19"/>
      <c r="K3" s="19"/>
      <c r="L3" s="19"/>
      <c r="M3" s="19"/>
      <c r="N3" s="19"/>
      <c r="O3" s="19"/>
      <c r="P3" s="19"/>
      <c r="Q3" s="19"/>
      <c r="R3" s="19"/>
      <c r="S3" s="19"/>
      <c r="T3" s="19"/>
      <c r="U3" s="19"/>
      <c r="V3" s="19"/>
    </row>
    <row r="4" spans="1:22" ht="19.5" customHeight="1" x14ac:dyDescent="0.35">
      <c r="A4" s="12" t="s">
        <v>514</v>
      </c>
      <c r="B4" s="12"/>
      <c r="C4" s="12"/>
      <c r="D4" s="12"/>
      <c r="E4" s="12"/>
      <c r="F4" s="12"/>
      <c r="H4" s="12" t="s">
        <v>515</v>
      </c>
      <c r="I4" s="12"/>
      <c r="K4" s="12" t="s">
        <v>516</v>
      </c>
      <c r="L4" s="12"/>
      <c r="N4" s="323" t="s">
        <v>517</v>
      </c>
      <c r="O4" s="323"/>
    </row>
    <row r="5" spans="1:22" ht="31.5" customHeight="1" x14ac:dyDescent="0.35">
      <c r="B5" s="20" t="s">
        <v>518</v>
      </c>
      <c r="C5" s="15" t="s">
        <v>519</v>
      </c>
      <c r="D5" s="15" t="s">
        <v>520</v>
      </c>
      <c r="E5" s="15" t="s">
        <v>521</v>
      </c>
      <c r="F5" s="15" t="s">
        <v>522</v>
      </c>
      <c r="H5" s="15" t="s">
        <v>523</v>
      </c>
      <c r="I5" s="15" t="s">
        <v>524</v>
      </c>
      <c r="K5" s="15" t="s">
        <v>525</v>
      </c>
      <c r="L5" s="15" t="s">
        <v>526</v>
      </c>
      <c r="N5" s="121" t="s">
        <v>527</v>
      </c>
      <c r="O5" s="121" t="s">
        <v>528</v>
      </c>
    </row>
    <row r="6" spans="1:22" ht="18" customHeight="1" x14ac:dyDescent="0.35">
      <c r="B6" s="23" t="s">
        <v>529</v>
      </c>
      <c r="C6" s="122"/>
      <c r="D6" s="122"/>
      <c r="E6" s="122"/>
      <c r="F6" s="122"/>
      <c r="H6" s="23" t="s">
        <v>530</v>
      </c>
      <c r="I6" s="122"/>
      <c r="K6" s="25" t="s">
        <v>531</v>
      </c>
      <c r="L6" s="26">
        <v>400000</v>
      </c>
      <c r="N6" s="123" t="s">
        <v>532</v>
      </c>
      <c r="O6" s="71"/>
    </row>
    <row r="7" spans="1:22" ht="18" customHeight="1" x14ac:dyDescent="0.35">
      <c r="B7" s="29" t="s">
        <v>533</v>
      </c>
      <c r="C7" s="52">
        <v>314000</v>
      </c>
      <c r="D7" s="52">
        <v>566000</v>
      </c>
      <c r="E7" s="52">
        <v>470000</v>
      </c>
      <c r="F7" s="52">
        <v>722000</v>
      </c>
      <c r="H7" s="29" t="s">
        <v>534</v>
      </c>
      <c r="I7" s="52">
        <v>212</v>
      </c>
      <c r="K7" s="25" t="s">
        <v>535</v>
      </c>
      <c r="L7" s="102">
        <v>1</v>
      </c>
      <c r="N7" s="72" t="s">
        <v>536</v>
      </c>
      <c r="O7" s="72" t="s">
        <v>537</v>
      </c>
    </row>
    <row r="8" spans="1:22" ht="18" customHeight="1" x14ac:dyDescent="0.35">
      <c r="B8" s="23" t="s">
        <v>538</v>
      </c>
      <c r="C8" s="122"/>
      <c r="D8" s="122"/>
      <c r="E8" s="122"/>
      <c r="F8" s="122"/>
      <c r="H8" s="29" t="s">
        <v>539</v>
      </c>
      <c r="I8" s="52">
        <v>372</v>
      </c>
      <c r="K8" s="25" t="s">
        <v>540</v>
      </c>
      <c r="L8" s="102">
        <v>1</v>
      </c>
      <c r="N8" s="72" t="s">
        <v>541</v>
      </c>
      <c r="O8" s="72" t="s">
        <v>542</v>
      </c>
    </row>
    <row r="9" spans="1:22" ht="18" customHeight="1" x14ac:dyDescent="0.35">
      <c r="B9" s="29" t="s">
        <v>543</v>
      </c>
      <c r="C9" s="52">
        <v>686500</v>
      </c>
      <c r="D9" s="52">
        <v>938500</v>
      </c>
      <c r="E9" s="52">
        <v>1031000</v>
      </c>
      <c r="F9" s="52">
        <v>1283000</v>
      </c>
      <c r="H9" s="45"/>
      <c r="I9" s="124"/>
      <c r="K9" s="25" t="s">
        <v>544</v>
      </c>
      <c r="L9" s="26">
        <v>5000</v>
      </c>
      <c r="N9" s="72" t="s">
        <v>545</v>
      </c>
      <c r="O9" s="72" t="s">
        <v>546</v>
      </c>
    </row>
    <row r="10" spans="1:22" ht="18" customHeight="1" x14ac:dyDescent="0.35">
      <c r="B10" s="45"/>
      <c r="C10" s="124"/>
      <c r="D10" s="124"/>
      <c r="E10" s="124"/>
      <c r="F10" s="124"/>
      <c r="H10" s="125" t="s">
        <v>547</v>
      </c>
      <c r="I10" s="126"/>
      <c r="K10" s="25" t="s">
        <v>548</v>
      </c>
      <c r="L10" s="26">
        <v>28514</v>
      </c>
      <c r="N10" s="72" t="s">
        <v>549</v>
      </c>
      <c r="O10" s="72" t="s">
        <v>550</v>
      </c>
    </row>
    <row r="11" spans="1:22" ht="18" customHeight="1" x14ac:dyDescent="0.35">
      <c r="B11" s="125" t="s">
        <v>551</v>
      </c>
      <c r="C11" s="126"/>
      <c r="D11" s="126"/>
      <c r="E11" s="126"/>
      <c r="F11" s="126"/>
      <c r="H11" s="69" t="s">
        <v>552</v>
      </c>
      <c r="I11" s="127"/>
      <c r="K11" s="25" t="s">
        <v>553</v>
      </c>
      <c r="L11" s="26">
        <v>43102</v>
      </c>
      <c r="N11" s="128"/>
      <c r="O11" s="128"/>
    </row>
    <row r="12" spans="1:22" ht="18" customHeight="1" x14ac:dyDescent="0.35">
      <c r="B12" s="324" t="s">
        <v>554</v>
      </c>
      <c r="C12" s="324"/>
      <c r="D12" s="324"/>
      <c r="E12" s="127"/>
      <c r="F12" s="127"/>
      <c r="H12" s="29" t="s">
        <v>555</v>
      </c>
      <c r="I12" s="52">
        <v>2397</v>
      </c>
      <c r="N12" s="123" t="s">
        <v>556</v>
      </c>
      <c r="O12" s="71"/>
    </row>
    <row r="13" spans="1:22" ht="18" customHeight="1" x14ac:dyDescent="0.35">
      <c r="B13" s="324" t="s">
        <v>557</v>
      </c>
      <c r="C13" s="324"/>
      <c r="D13" s="324"/>
      <c r="E13" s="325" t="s">
        <v>558</v>
      </c>
      <c r="F13" s="325"/>
      <c r="H13" s="29" t="s">
        <v>559</v>
      </c>
      <c r="I13" s="52">
        <v>3666</v>
      </c>
      <c r="K13" s="23" t="s">
        <v>560</v>
      </c>
      <c r="L13" s="129"/>
      <c r="N13" s="72" t="s">
        <v>561</v>
      </c>
      <c r="O13" s="72" t="s">
        <v>562</v>
      </c>
    </row>
    <row r="14" spans="1:22" ht="18" customHeight="1" x14ac:dyDescent="0.35">
      <c r="B14" s="45"/>
      <c r="C14" s="124"/>
      <c r="D14" s="124"/>
      <c r="E14" s="124"/>
      <c r="F14" s="124"/>
      <c r="H14" s="45"/>
      <c r="I14" s="124"/>
      <c r="K14" s="29" t="s">
        <v>563</v>
      </c>
      <c r="L14" s="52">
        <f>IF(L8=1,IF(L7=1,314000,566000),IF(L7=1,470000,722000))</f>
        <v>314000</v>
      </c>
      <c r="N14" s="73" t="s">
        <v>564</v>
      </c>
      <c r="O14" s="73" t="s">
        <v>565</v>
      </c>
    </row>
    <row r="15" spans="1:22" ht="18" customHeight="1" x14ac:dyDescent="0.35">
      <c r="B15" s="125" t="s">
        <v>566</v>
      </c>
      <c r="C15" s="126"/>
      <c r="D15" s="126"/>
      <c r="E15" s="126"/>
      <c r="F15" s="126"/>
      <c r="H15" s="23" t="s">
        <v>567</v>
      </c>
      <c r="I15" s="122"/>
      <c r="K15" s="29" t="s">
        <v>568</v>
      </c>
      <c r="L15" s="52">
        <f>IF(L8=1,IF(L7=1,686500,938500),IF(L7=1,1031000,1283000))</f>
        <v>686500</v>
      </c>
      <c r="N15" s="128"/>
      <c r="O15" s="128"/>
    </row>
    <row r="16" spans="1:22" ht="18" customHeight="1" x14ac:dyDescent="0.35">
      <c r="B16" s="69" t="s">
        <v>569</v>
      </c>
      <c r="C16" s="127" t="s">
        <v>570</v>
      </c>
      <c r="D16" s="127" t="s">
        <v>571</v>
      </c>
      <c r="E16" s="127" t="s">
        <v>570</v>
      </c>
      <c r="F16" s="127" t="s">
        <v>571</v>
      </c>
      <c r="H16" s="29" t="s">
        <v>572</v>
      </c>
      <c r="I16" s="130" t="s">
        <v>573</v>
      </c>
      <c r="K16" s="29" t="s">
        <v>574</v>
      </c>
      <c r="L16" s="52">
        <f>MAX(0,L6-L14)</f>
        <v>86000</v>
      </c>
      <c r="N16" s="123" t="s">
        <v>575</v>
      </c>
      <c r="O16" s="71"/>
    </row>
    <row r="17" spans="1:22" ht="18" customHeight="1" x14ac:dyDescent="0.35">
      <c r="B17" s="69" t="s">
        <v>576</v>
      </c>
      <c r="C17" s="127" t="s">
        <v>577</v>
      </c>
      <c r="D17" s="127" t="s">
        <v>577</v>
      </c>
      <c r="E17" s="127" t="s">
        <v>577</v>
      </c>
      <c r="F17" s="127" t="s">
        <v>577</v>
      </c>
      <c r="H17" s="29" t="s">
        <v>578</v>
      </c>
      <c r="I17" s="130" t="s">
        <v>579</v>
      </c>
      <c r="K17" s="69" t="s">
        <v>580</v>
      </c>
      <c r="L17" s="53">
        <f>L16/1000*78</f>
        <v>6708</v>
      </c>
      <c r="N17" s="73" t="s">
        <v>581</v>
      </c>
      <c r="O17" s="73" t="s">
        <v>582</v>
      </c>
    </row>
    <row r="18" spans="1:22" ht="18" customHeight="1" x14ac:dyDescent="0.35">
      <c r="H18" s="29" t="s">
        <v>583</v>
      </c>
      <c r="I18" s="52">
        <v>62600</v>
      </c>
      <c r="K18" s="125" t="s">
        <v>584</v>
      </c>
      <c r="L18" s="90">
        <f>MAX(0,IF(L8=1,L10,L11)-L17)*IF(L6&gt;=L15,0,1)</f>
        <v>21806</v>
      </c>
      <c r="N18" s="73" t="s">
        <v>585</v>
      </c>
      <c r="O18" s="73" t="s">
        <v>586</v>
      </c>
    </row>
    <row r="19" spans="1:22" ht="18" customHeight="1" x14ac:dyDescent="0.35">
      <c r="H19" s="29" t="s">
        <v>587</v>
      </c>
      <c r="I19" s="52">
        <v>103800</v>
      </c>
      <c r="K19" s="23" t="s">
        <v>588</v>
      </c>
      <c r="L19" s="129"/>
      <c r="N19" s="72" t="s">
        <v>589</v>
      </c>
      <c r="O19" s="72" t="s">
        <v>590</v>
      </c>
    </row>
    <row r="20" spans="1:22" ht="18" customHeight="1" x14ac:dyDescent="0.35">
      <c r="H20" s="45"/>
      <c r="I20" s="124"/>
      <c r="K20" s="29" t="s">
        <v>591</v>
      </c>
      <c r="L20" s="52">
        <f>IF(L8=1,62600,103800)</f>
        <v>62600</v>
      </c>
      <c r="N20" s="128"/>
      <c r="O20" s="128"/>
    </row>
    <row r="21" spans="1:22" ht="18" customHeight="1" x14ac:dyDescent="0.35">
      <c r="H21" s="125" t="s">
        <v>592</v>
      </c>
      <c r="I21" s="126"/>
      <c r="K21" s="29" t="s">
        <v>593</v>
      </c>
      <c r="L21" s="52">
        <f>MIN(L6,L20)*0.0025+MAX(0,L6-L20)*0.0225</f>
        <v>7748</v>
      </c>
      <c r="N21" s="123" t="s">
        <v>594</v>
      </c>
      <c r="O21" s="71"/>
    </row>
    <row r="22" spans="1:22" ht="18" customHeight="1" x14ac:dyDescent="0.35">
      <c r="H22" s="69" t="s">
        <v>595</v>
      </c>
      <c r="I22" s="127"/>
      <c r="K22" s="29" t="s">
        <v>596</v>
      </c>
      <c r="L22" s="52">
        <f>L21+L9</f>
        <v>12748</v>
      </c>
      <c r="N22" s="72" t="s">
        <v>597</v>
      </c>
      <c r="O22" s="72" t="s">
        <v>598</v>
      </c>
    </row>
    <row r="23" spans="1:22" ht="18" customHeight="1" x14ac:dyDescent="0.35">
      <c r="H23" s="69" t="s">
        <v>599</v>
      </c>
      <c r="I23" s="127"/>
      <c r="K23" s="29" t="s">
        <v>600</v>
      </c>
      <c r="L23" s="52">
        <f>IF(L8=1,5512,9672)</f>
        <v>5512</v>
      </c>
      <c r="N23" s="72" t="s">
        <v>601</v>
      </c>
      <c r="O23" s="72" t="s">
        <v>602</v>
      </c>
    </row>
    <row r="24" spans="1:22" ht="18" customHeight="1" x14ac:dyDescent="0.35">
      <c r="K24" s="29" t="s">
        <v>603</v>
      </c>
      <c r="L24" s="52">
        <f>MAX(0,L22-L23)</f>
        <v>7236</v>
      </c>
      <c r="N24" s="72" t="s">
        <v>604</v>
      </c>
      <c r="O24" s="72" t="s">
        <v>605</v>
      </c>
    </row>
    <row r="25" spans="1:22" ht="18" customHeight="1" x14ac:dyDescent="0.35">
      <c r="K25" s="69" t="s">
        <v>606</v>
      </c>
      <c r="L25" s="53">
        <f>L24*0.5</f>
        <v>3618</v>
      </c>
      <c r="N25" s="128"/>
      <c r="O25" s="128"/>
    </row>
    <row r="26" spans="1:22" ht="18" customHeight="1" x14ac:dyDescent="0.35">
      <c r="K26" s="125" t="s">
        <v>607</v>
      </c>
      <c r="L26" s="90">
        <f>MAX(0,IF(L8=1,L10,L11)-L25)</f>
        <v>24896</v>
      </c>
      <c r="N26" s="123" t="s">
        <v>608</v>
      </c>
      <c r="O26" s="71"/>
    </row>
    <row r="27" spans="1:22" ht="18" customHeight="1" x14ac:dyDescent="0.35">
      <c r="K27" s="23" t="s">
        <v>609</v>
      </c>
      <c r="L27" s="129"/>
      <c r="N27" s="72" t="s">
        <v>610</v>
      </c>
      <c r="O27" s="72" t="s">
        <v>611</v>
      </c>
    </row>
    <row r="28" spans="1:22" ht="18" customHeight="1" x14ac:dyDescent="0.35">
      <c r="K28" s="57" t="s">
        <v>612</v>
      </c>
      <c r="L28" s="109">
        <f>MIN(L18,L26)</f>
        <v>21806</v>
      </c>
      <c r="N28" s="72" t="s">
        <v>613</v>
      </c>
      <c r="O28" s="72" t="s">
        <v>614</v>
      </c>
    </row>
    <row r="29" spans="1:22" ht="18" customHeight="1" x14ac:dyDescent="0.35">
      <c r="K29" s="57" t="s">
        <v>615</v>
      </c>
      <c r="L29" s="109">
        <f>L28+L9</f>
        <v>26806</v>
      </c>
      <c r="N29" s="128"/>
      <c r="O29" s="128"/>
    </row>
    <row r="30" spans="1:22" ht="18" customHeight="1" x14ac:dyDescent="0.35">
      <c r="N30" s="131" t="s">
        <v>616</v>
      </c>
      <c r="O30" s="73"/>
    </row>
    <row r="31" spans="1:22" ht="6" customHeight="1" x14ac:dyDescent="0.35">
      <c r="A31" s="19"/>
      <c r="B31" s="19"/>
      <c r="C31" s="19"/>
      <c r="D31" s="19"/>
      <c r="E31" s="19"/>
      <c r="F31" s="19"/>
      <c r="G31" s="19"/>
      <c r="H31" s="19"/>
      <c r="I31" s="19"/>
      <c r="J31" s="19"/>
      <c r="K31" s="19"/>
      <c r="L31" s="19"/>
      <c r="M31" s="19"/>
      <c r="N31" s="128" t="s">
        <v>617</v>
      </c>
      <c r="O31" s="128" t="s">
        <v>618</v>
      </c>
      <c r="P31" s="19"/>
      <c r="Q31" s="19"/>
      <c r="R31" s="19"/>
      <c r="S31" s="19"/>
      <c r="T31" s="19"/>
      <c r="U31" s="19"/>
      <c r="V31" s="19"/>
    </row>
    <row r="32" spans="1:22" ht="19.5" customHeight="1" x14ac:dyDescent="0.35">
      <c r="A32" s="7" t="s">
        <v>619</v>
      </c>
      <c r="B32" s="7"/>
      <c r="C32" s="7"/>
      <c r="D32" s="7"/>
      <c r="E32" s="7"/>
      <c r="F32" s="7"/>
      <c r="G32" s="7"/>
      <c r="H32" s="7"/>
      <c r="I32" s="7"/>
      <c r="J32" s="7"/>
      <c r="K32" s="7"/>
      <c r="L32" s="7"/>
      <c r="M32" s="7"/>
      <c r="N32" s="7"/>
      <c r="O32" s="7"/>
      <c r="P32" s="7"/>
      <c r="Q32" s="7"/>
      <c r="R32" s="7"/>
      <c r="S32" s="7"/>
      <c r="T32" s="7"/>
      <c r="U32" s="7"/>
      <c r="V32" s="7"/>
    </row>
    <row r="33" spans="1:12" ht="36" customHeight="1" x14ac:dyDescent="0.35">
      <c r="A33" s="132" t="s">
        <v>620</v>
      </c>
      <c r="B33" s="132" t="s">
        <v>348</v>
      </c>
      <c r="C33" s="132" t="s">
        <v>621</v>
      </c>
      <c r="D33" s="132" t="s">
        <v>622</v>
      </c>
      <c r="E33" s="132" t="s">
        <v>623</v>
      </c>
      <c r="F33" s="133" t="s">
        <v>624</v>
      </c>
      <c r="G33" s="133" t="s">
        <v>625</v>
      </c>
      <c r="H33" s="133" t="s">
        <v>626</v>
      </c>
      <c r="I33" s="133" t="s">
        <v>627</v>
      </c>
      <c r="J33" s="133" t="s">
        <v>628</v>
      </c>
      <c r="K33" s="133" t="s">
        <v>629</v>
      </c>
      <c r="L33" s="134" t="s">
        <v>354</v>
      </c>
    </row>
    <row r="34" spans="1:12" ht="15" customHeight="1" x14ac:dyDescent="0.35">
      <c r="A34" s="135">
        <v>1</v>
      </c>
      <c r="B34" s="83">
        <f>'Pension Drawdown'!B25</f>
        <v>65</v>
      </c>
      <c r="C34" s="84">
        <f>MAX(0,'Pension Drawdown'!G25)</f>
        <v>401372</v>
      </c>
      <c r="D34" s="84">
        <f>'Pension Drawdown'!E25</f>
        <v>20000</v>
      </c>
      <c r="E34" s="84">
        <f t="shared" ref="E34:E69" si="0">C34</f>
        <v>401372</v>
      </c>
      <c r="F34" s="84">
        <f t="shared" ref="F34:F69" si="1">MIN(E34,62600)*0.0025+MAX(0,E34-62600)*0.0225</f>
        <v>7778.87</v>
      </c>
      <c r="G34" s="84">
        <f t="shared" ref="G34:G69" si="2">MAX(0,28514-MAX(0,E34-314000)/1000*78)*IF(E34&gt;=686500,0,1)</f>
        <v>21698.984</v>
      </c>
      <c r="H34" s="84">
        <f t="shared" ref="H34:H69" si="3">MAX(0,28514-MAX(0,F34-5512)*0.5)</f>
        <v>27380.564999999999</v>
      </c>
      <c r="I34" s="136">
        <f t="shared" ref="I34:I69" si="4">MIN(G34,H34)</f>
        <v>21698.984</v>
      </c>
      <c r="J34" s="99">
        <f t="shared" ref="J34:J69" si="5">D34+I34</f>
        <v>41698.983999999997</v>
      </c>
      <c r="K34" s="89">
        <f t="shared" ref="K34:K69" si="6">J34/((1+0.025)^(A34-1))</f>
        <v>41698.983999999997</v>
      </c>
      <c r="L34" s="137" t="str">
        <f t="shared" ref="L34:L69" si="7">IF(B34&lt;67,"Pre-pension age — no Age Pension",IF(E34&gt;=686500,"Assets above cutout — $0 pension",IF(E34&lt;=314000,"Full pension payable","Partial pension — taper applies")))</f>
        <v>Pre-pension age — no Age Pension</v>
      </c>
    </row>
    <row r="35" spans="1:12" ht="15" customHeight="1" x14ac:dyDescent="0.35">
      <c r="A35" s="135">
        <v>2</v>
      </c>
      <c r="B35" s="83">
        <f>'Pension Drawdown'!B26</f>
        <v>66</v>
      </c>
      <c r="C35" s="92">
        <f>MAX(0,'Pension Drawdown'!G26)</f>
        <v>402748.97350000002</v>
      </c>
      <c r="D35" s="92">
        <f>'Pension Drawdown'!E26</f>
        <v>20068.600000000002</v>
      </c>
      <c r="E35" s="92">
        <f t="shared" si="0"/>
        <v>402748.97350000002</v>
      </c>
      <c r="F35" s="92">
        <f t="shared" si="1"/>
        <v>7809.85190375</v>
      </c>
      <c r="G35" s="92">
        <f t="shared" si="2"/>
        <v>21591.580066999999</v>
      </c>
      <c r="H35" s="92">
        <f t="shared" si="3"/>
        <v>27365.074048125</v>
      </c>
      <c r="I35" s="136">
        <f t="shared" si="4"/>
        <v>21591.580066999999</v>
      </c>
      <c r="J35" s="99">
        <f t="shared" si="5"/>
        <v>41660.180067000001</v>
      </c>
      <c r="K35" s="89">
        <f t="shared" si="6"/>
        <v>40644.078114146345</v>
      </c>
      <c r="L35" s="138" t="str">
        <f t="shared" si="7"/>
        <v>Pre-pension age — no Age Pension</v>
      </c>
    </row>
    <row r="36" spans="1:12" ht="15" customHeight="1" x14ac:dyDescent="0.35">
      <c r="A36" s="135">
        <v>3</v>
      </c>
      <c r="B36" s="83">
        <f>'Pension Drawdown'!B27</f>
        <v>67</v>
      </c>
      <c r="C36" s="84">
        <f>MAX(0,'Pension Drawdown'!G27)</f>
        <v>404130.93852893752</v>
      </c>
      <c r="D36" s="84">
        <f>'Pension Drawdown'!E27</f>
        <v>20137.448675000003</v>
      </c>
      <c r="E36" s="84">
        <f t="shared" si="0"/>
        <v>404130.93852893752</v>
      </c>
      <c r="F36" s="84">
        <f t="shared" si="1"/>
        <v>7840.9461169010938</v>
      </c>
      <c r="G36" s="84">
        <f t="shared" si="2"/>
        <v>21483.786794742875</v>
      </c>
      <c r="H36" s="84">
        <f t="shared" si="3"/>
        <v>27349.526941549455</v>
      </c>
      <c r="I36" s="136">
        <f t="shared" si="4"/>
        <v>21483.786794742875</v>
      </c>
      <c r="J36" s="99">
        <f t="shared" si="5"/>
        <v>41621.235469742882</v>
      </c>
      <c r="K36" s="89">
        <f t="shared" si="6"/>
        <v>39615.69110742928</v>
      </c>
      <c r="L36" s="137" t="str">
        <f t="shared" si="7"/>
        <v>Partial pension — taper applies</v>
      </c>
    </row>
    <row r="37" spans="1:12" ht="15" customHeight="1" x14ac:dyDescent="0.35">
      <c r="A37" s="135">
        <v>4</v>
      </c>
      <c r="B37" s="83">
        <f>'Pension Drawdown'!B28</f>
        <v>68</v>
      </c>
      <c r="C37" s="92">
        <f>MAX(0,'Pension Drawdown'!G28)</f>
        <v>405517.91318110487</v>
      </c>
      <c r="D37" s="92">
        <f>'Pension Drawdown'!E28</f>
        <v>20206.546926446877</v>
      </c>
      <c r="E37" s="92">
        <f t="shared" si="0"/>
        <v>405517.91318110487</v>
      </c>
      <c r="F37" s="92">
        <f t="shared" si="1"/>
        <v>7872.1530465748592</v>
      </c>
      <c r="G37" s="92">
        <f t="shared" si="2"/>
        <v>21375.602771873819</v>
      </c>
      <c r="H37" s="92">
        <f t="shared" si="3"/>
        <v>27333.923476712571</v>
      </c>
      <c r="I37" s="136">
        <f t="shared" si="4"/>
        <v>21375.602771873819</v>
      </c>
      <c r="J37" s="99">
        <f t="shared" si="5"/>
        <v>41582.149698320696</v>
      </c>
      <c r="K37" s="89">
        <f t="shared" si="6"/>
        <v>38613.159714637412</v>
      </c>
      <c r="L37" s="138" t="str">
        <f t="shared" si="7"/>
        <v>Partial pension — taper applies</v>
      </c>
    </row>
    <row r="38" spans="1:12" ht="15" customHeight="1" x14ac:dyDescent="0.35">
      <c r="A38" s="135">
        <v>5</v>
      </c>
      <c r="B38" s="83">
        <f>'Pension Drawdown'!B29</f>
        <v>69</v>
      </c>
      <c r="C38" s="84">
        <f>MAX(0,'Pension Drawdown'!G29)</f>
        <v>406909.91561638634</v>
      </c>
      <c r="D38" s="84">
        <f>'Pension Drawdown'!E29</f>
        <v>20275.895659055244</v>
      </c>
      <c r="E38" s="84">
        <f t="shared" si="0"/>
        <v>406909.91561638634</v>
      </c>
      <c r="F38" s="84">
        <f t="shared" si="1"/>
        <v>7903.4731013686924</v>
      </c>
      <c r="G38" s="84">
        <f t="shared" si="2"/>
        <v>21267.026581921866</v>
      </c>
      <c r="H38" s="84">
        <f t="shared" si="3"/>
        <v>27318.263449315655</v>
      </c>
      <c r="I38" s="136">
        <f t="shared" si="4"/>
        <v>21267.026581921866</v>
      </c>
      <c r="J38" s="99">
        <f t="shared" si="5"/>
        <v>41542.92224097711</v>
      </c>
      <c r="K38" s="89">
        <f t="shared" si="6"/>
        <v>37635.837191079299</v>
      </c>
      <c r="L38" s="137" t="str">
        <f t="shared" si="7"/>
        <v>Partial pension — taper applies</v>
      </c>
    </row>
    <row r="39" spans="1:12" ht="15" customHeight="1" x14ac:dyDescent="0.35">
      <c r="A39" s="135">
        <v>6</v>
      </c>
      <c r="B39" s="83">
        <f>'Pension Drawdown'!B30</f>
        <v>70</v>
      </c>
      <c r="C39" s="92">
        <f>MAX(0,'Pension Drawdown'!G30)</f>
        <v>408306.96406049572</v>
      </c>
      <c r="D39" s="92">
        <f>'Pension Drawdown'!E30</f>
        <v>20345.495780819318</v>
      </c>
      <c r="E39" s="92">
        <f t="shared" si="0"/>
        <v>408306.96406049572</v>
      </c>
      <c r="F39" s="92">
        <f t="shared" si="1"/>
        <v>7934.9066913611532</v>
      </c>
      <c r="G39" s="92">
        <f t="shared" si="2"/>
        <v>21158.056803281332</v>
      </c>
      <c r="H39" s="92">
        <f t="shared" si="3"/>
        <v>27302.546654319423</v>
      </c>
      <c r="I39" s="136">
        <f t="shared" si="4"/>
        <v>21158.056803281332</v>
      </c>
      <c r="J39" s="99">
        <f t="shared" si="5"/>
        <v>41503.552584100646</v>
      </c>
      <c r="K39" s="89">
        <f t="shared" si="6"/>
        <v>36683.092902484415</v>
      </c>
      <c r="L39" s="138" t="str">
        <f t="shared" si="7"/>
        <v>Partial pension — taper applies</v>
      </c>
    </row>
    <row r="40" spans="1:12" ht="15" customHeight="1" x14ac:dyDescent="0.35">
      <c r="A40" s="135">
        <v>7</v>
      </c>
      <c r="B40" s="83">
        <f>'Pension Drawdown'!B31</f>
        <v>71</v>
      </c>
      <c r="C40" s="84">
        <f>MAX(0,'Pension Drawdown'!G31)</f>
        <v>409709.07680521504</v>
      </c>
      <c r="D40" s="84">
        <f>'Pension Drawdown'!E31</f>
        <v>20415.348203024787</v>
      </c>
      <c r="E40" s="84">
        <f t="shared" si="0"/>
        <v>409709.07680521504</v>
      </c>
      <c r="F40" s="84">
        <f t="shared" si="1"/>
        <v>7966.4542281173381</v>
      </c>
      <c r="G40" s="84">
        <f t="shared" si="2"/>
        <v>21048.692009193226</v>
      </c>
      <c r="H40" s="84">
        <f t="shared" si="3"/>
        <v>27286.772885941333</v>
      </c>
      <c r="I40" s="136">
        <f t="shared" si="4"/>
        <v>21048.692009193226</v>
      </c>
      <c r="J40" s="99">
        <f t="shared" si="5"/>
        <v>41464.040212218009</v>
      </c>
      <c r="K40" s="89">
        <f t="shared" si="6"/>
        <v>35754.311925055925</v>
      </c>
      <c r="L40" s="137" t="str">
        <f t="shared" si="7"/>
        <v>Partial pension — taper applies</v>
      </c>
    </row>
    <row r="41" spans="1:12" ht="15" customHeight="1" x14ac:dyDescent="0.35">
      <c r="A41" s="135">
        <v>8</v>
      </c>
      <c r="B41" s="83">
        <f>'Pension Drawdown'!B32</f>
        <v>72</v>
      </c>
      <c r="C41" s="92">
        <f>MAX(0,'Pension Drawdown'!G32)</f>
        <v>411116.27220863395</v>
      </c>
      <c r="D41" s="92">
        <f>'Pension Drawdown'!E32</f>
        <v>20485.453840260754</v>
      </c>
      <c r="E41" s="92">
        <f t="shared" si="0"/>
        <v>411116.27220863395</v>
      </c>
      <c r="F41" s="92">
        <f t="shared" si="1"/>
        <v>7998.1161246942638</v>
      </c>
      <c r="G41" s="92">
        <f t="shared" si="2"/>
        <v>20938.930767726553</v>
      </c>
      <c r="H41" s="92">
        <f t="shared" si="3"/>
        <v>27270.941937652868</v>
      </c>
      <c r="I41" s="136">
        <f t="shared" si="4"/>
        <v>20938.930767726553</v>
      </c>
      <c r="J41" s="99">
        <f t="shared" si="5"/>
        <v>41424.384607987304</v>
      </c>
      <c r="K41" s="89">
        <f t="shared" si="6"/>
        <v>34848.89465542441</v>
      </c>
      <c r="L41" s="138" t="str">
        <f t="shared" si="7"/>
        <v>Partial pension — taper applies</v>
      </c>
    </row>
    <row r="42" spans="1:12" ht="15" customHeight="1" x14ac:dyDescent="0.35">
      <c r="A42" s="135">
        <v>9</v>
      </c>
      <c r="B42" s="83">
        <f>'Pension Drawdown'!B33</f>
        <v>73</v>
      </c>
      <c r="C42" s="84">
        <f>MAX(0,'Pension Drawdown'!G33)</f>
        <v>412528.56869539025</v>
      </c>
      <c r="D42" s="84">
        <f>'Pension Drawdown'!E33</f>
        <v>20555.813610431698</v>
      </c>
      <c r="E42" s="84">
        <f t="shared" si="0"/>
        <v>412528.56869539025</v>
      </c>
      <c r="F42" s="84">
        <f t="shared" si="1"/>
        <v>8029.8927956462803</v>
      </c>
      <c r="G42" s="84">
        <f t="shared" si="2"/>
        <v>20828.771641759558</v>
      </c>
      <c r="H42" s="84">
        <f t="shared" si="3"/>
        <v>27255.05360217686</v>
      </c>
      <c r="I42" s="136">
        <f t="shared" si="4"/>
        <v>20828.771641759558</v>
      </c>
      <c r="J42" s="99">
        <f t="shared" si="5"/>
        <v>41384.58525219126</v>
      </c>
      <c r="K42" s="89">
        <f t="shared" si="6"/>
        <v>33966.256430258029</v>
      </c>
      <c r="L42" s="137" t="str">
        <f t="shared" si="7"/>
        <v>Partial pension — taper applies</v>
      </c>
    </row>
    <row r="43" spans="1:12" ht="15" customHeight="1" x14ac:dyDescent="0.35">
      <c r="A43" s="135">
        <v>10</v>
      </c>
      <c r="B43" s="83">
        <f>'Pension Drawdown'!B34</f>
        <v>74</v>
      </c>
      <c r="C43" s="92">
        <f>MAX(0,'Pension Drawdown'!G34)</f>
        <v>413945.98475691106</v>
      </c>
      <c r="D43" s="92">
        <f>'Pension Drawdown'!E34</f>
        <v>20626.428434769514</v>
      </c>
      <c r="E43" s="92">
        <f t="shared" si="0"/>
        <v>413945.98475691106</v>
      </c>
      <c r="F43" s="92">
        <f t="shared" si="1"/>
        <v>8061.7846570304982</v>
      </c>
      <c r="G43" s="92">
        <f t="shared" si="2"/>
        <v>20718.213188960937</v>
      </c>
      <c r="H43" s="92">
        <f t="shared" si="3"/>
        <v>27239.107671484751</v>
      </c>
      <c r="I43" s="136">
        <f t="shared" si="4"/>
        <v>20718.213188960937</v>
      </c>
      <c r="J43" s="99">
        <f t="shared" si="5"/>
        <v>41344.641623730451</v>
      </c>
      <c r="K43" s="89">
        <f t="shared" si="6"/>
        <v>33105.827155290732</v>
      </c>
      <c r="L43" s="138" t="str">
        <f t="shared" si="7"/>
        <v>Partial pension — taper applies</v>
      </c>
    </row>
    <row r="44" spans="1:12" ht="15" customHeight="1" x14ac:dyDescent="0.35">
      <c r="A44" s="135">
        <v>11</v>
      </c>
      <c r="B44" s="83">
        <f>'Pension Drawdown'!B35</f>
        <v>75</v>
      </c>
      <c r="C44" s="84">
        <f>MAX(0,'Pension Drawdown'!G35)</f>
        <v>411115.24395827763</v>
      </c>
      <c r="D44" s="84">
        <f>'Pension Drawdown'!E35</f>
        <v>24836.759085414662</v>
      </c>
      <c r="E44" s="84">
        <f t="shared" si="0"/>
        <v>411115.24395827763</v>
      </c>
      <c r="F44" s="84">
        <f t="shared" si="1"/>
        <v>7998.092989061246</v>
      </c>
      <c r="G44" s="84">
        <f t="shared" si="2"/>
        <v>20939.010971254345</v>
      </c>
      <c r="H44" s="84">
        <f t="shared" si="3"/>
        <v>27270.953505469377</v>
      </c>
      <c r="I44" s="136">
        <f t="shared" si="4"/>
        <v>20939.010971254345</v>
      </c>
      <c r="J44" s="99">
        <f t="shared" si="5"/>
        <v>45775.770056669004</v>
      </c>
      <c r="K44" s="89">
        <f t="shared" si="6"/>
        <v>35759.958406034224</v>
      </c>
      <c r="L44" s="137" t="str">
        <f t="shared" si="7"/>
        <v>Partial pension — taper applies</v>
      </c>
    </row>
    <row r="45" spans="1:12" ht="15" customHeight="1" x14ac:dyDescent="0.35">
      <c r="A45" s="135">
        <v>12</v>
      </c>
      <c r="B45" s="83">
        <f>'Pension Drawdown'!B36</f>
        <v>76</v>
      </c>
      <c r="C45" s="92">
        <f>MAX(0,'Pension Drawdown'!G36)</f>
        <v>408303.32758595509</v>
      </c>
      <c r="D45" s="92">
        <f>'Pension Drawdown'!E36</f>
        <v>24666.914637496659</v>
      </c>
      <c r="E45" s="92">
        <f t="shared" si="0"/>
        <v>408303.32758595509</v>
      </c>
      <c r="F45" s="92">
        <f t="shared" si="1"/>
        <v>7934.8248706839895</v>
      </c>
      <c r="G45" s="92">
        <f t="shared" si="2"/>
        <v>21158.340448295501</v>
      </c>
      <c r="H45" s="92">
        <f t="shared" si="3"/>
        <v>27302.587564658006</v>
      </c>
      <c r="I45" s="136">
        <f t="shared" si="4"/>
        <v>21158.340448295501</v>
      </c>
      <c r="J45" s="99">
        <f t="shared" si="5"/>
        <v>45825.25508579216</v>
      </c>
      <c r="K45" s="89">
        <f t="shared" si="6"/>
        <v>34925.479055311785</v>
      </c>
      <c r="L45" s="138" t="str">
        <f t="shared" si="7"/>
        <v>Partial pension — taper applies</v>
      </c>
    </row>
    <row r="46" spans="1:12" ht="15" customHeight="1" x14ac:dyDescent="0.35">
      <c r="A46" s="135">
        <v>13</v>
      </c>
      <c r="B46" s="83">
        <f>'Pension Drawdown'!B37</f>
        <v>77</v>
      </c>
      <c r="C46" s="84">
        <f>MAX(0,'Pension Drawdown'!G37)</f>
        <v>405510.11045750853</v>
      </c>
      <c r="D46" s="84">
        <f>'Pension Drawdown'!E37</f>
        <v>24498.199655157303</v>
      </c>
      <c r="E46" s="84">
        <f t="shared" si="0"/>
        <v>405510.11045750853</v>
      </c>
      <c r="F46" s="84">
        <f t="shared" si="1"/>
        <v>7871.9774852939418</v>
      </c>
      <c r="G46" s="84">
        <f t="shared" si="2"/>
        <v>21376.211384314334</v>
      </c>
      <c r="H46" s="84">
        <f t="shared" si="3"/>
        <v>27334.011257353028</v>
      </c>
      <c r="I46" s="136">
        <f t="shared" si="4"/>
        <v>21376.211384314334</v>
      </c>
      <c r="J46" s="99">
        <f t="shared" si="5"/>
        <v>45874.411039471641</v>
      </c>
      <c r="K46" s="89">
        <f t="shared" si="6"/>
        <v>34110.188301386603</v>
      </c>
      <c r="L46" s="137" t="str">
        <f t="shared" si="7"/>
        <v>Partial pension — taper applies</v>
      </c>
    </row>
    <row r="47" spans="1:12" ht="15" customHeight="1" x14ac:dyDescent="0.35">
      <c r="A47" s="135">
        <v>14</v>
      </c>
      <c r="B47" s="83">
        <f>'Pension Drawdown'!B38</f>
        <v>78</v>
      </c>
      <c r="C47" s="92">
        <f>MAX(0,'Pension Drawdown'!G38)</f>
        <v>402735.46822296613</v>
      </c>
      <c r="D47" s="92">
        <f>'Pension Drawdown'!E38</f>
        <v>24330.60662745051</v>
      </c>
      <c r="E47" s="92">
        <f t="shared" si="0"/>
        <v>402735.46822296613</v>
      </c>
      <c r="F47" s="92">
        <f t="shared" si="1"/>
        <v>7809.5480350167372</v>
      </c>
      <c r="G47" s="92">
        <f t="shared" si="2"/>
        <v>21592.633478608641</v>
      </c>
      <c r="H47" s="92">
        <f t="shared" si="3"/>
        <v>27365.225982491633</v>
      </c>
      <c r="I47" s="136">
        <f t="shared" si="4"/>
        <v>21592.633478608641</v>
      </c>
      <c r="J47" s="99">
        <f t="shared" si="5"/>
        <v>45923.240106059151</v>
      </c>
      <c r="K47" s="89">
        <f t="shared" si="6"/>
        <v>33313.654088984404</v>
      </c>
      <c r="L47" s="138" t="str">
        <f t="shared" si="7"/>
        <v>Partial pension — taper applies</v>
      </c>
    </row>
    <row r="48" spans="1:12" ht="15" customHeight="1" x14ac:dyDescent="0.35">
      <c r="A48" s="135">
        <v>15</v>
      </c>
      <c r="B48" s="83">
        <f>'Pension Drawdown'!B39</f>
        <v>79</v>
      </c>
      <c r="C48" s="84">
        <f>MAX(0,'Pension Drawdown'!G39)</f>
        <v>399979.27735928341</v>
      </c>
      <c r="D48" s="84">
        <f>'Pension Drawdown'!E39</f>
        <v>24164.128093377967</v>
      </c>
      <c r="E48" s="84">
        <f t="shared" si="0"/>
        <v>399979.27735928341</v>
      </c>
      <c r="F48" s="84">
        <f t="shared" si="1"/>
        <v>7747.5337405838764</v>
      </c>
      <c r="G48" s="84">
        <f t="shared" si="2"/>
        <v>21807.616365975893</v>
      </c>
      <c r="H48" s="84">
        <f t="shared" si="3"/>
        <v>27396.23312970806</v>
      </c>
      <c r="I48" s="136">
        <f t="shared" si="4"/>
        <v>21807.616365975893</v>
      </c>
      <c r="J48" s="99">
        <f t="shared" si="5"/>
        <v>45971.74445935386</v>
      </c>
      <c r="K48" s="89">
        <f t="shared" si="6"/>
        <v>32535.453790412012</v>
      </c>
      <c r="L48" s="137" t="str">
        <f t="shared" si="7"/>
        <v>Partial pension — taper applies</v>
      </c>
    </row>
    <row r="49" spans="1:12" ht="15" customHeight="1" x14ac:dyDescent="0.35">
      <c r="A49" s="135">
        <v>16</v>
      </c>
      <c r="B49" s="83">
        <f>'Pension Drawdown'!B40</f>
        <v>80</v>
      </c>
      <c r="C49" s="92">
        <f>MAX(0,'Pension Drawdown'!G40)</f>
        <v>393131.62808997754</v>
      </c>
      <c r="D49" s="92">
        <f>'Pension Drawdown'!E40</f>
        <v>27998.549415149842</v>
      </c>
      <c r="E49" s="92">
        <f t="shared" si="0"/>
        <v>393131.62808997754</v>
      </c>
      <c r="F49" s="92">
        <f t="shared" si="1"/>
        <v>7593.4616320244941</v>
      </c>
      <c r="G49" s="92">
        <f t="shared" si="2"/>
        <v>22341.733008981751</v>
      </c>
      <c r="H49" s="92">
        <f t="shared" si="3"/>
        <v>27473.269183987752</v>
      </c>
      <c r="I49" s="136">
        <f t="shared" si="4"/>
        <v>22341.733008981751</v>
      </c>
      <c r="J49" s="99">
        <f t="shared" si="5"/>
        <v>50340.282424131598</v>
      </c>
      <c r="K49" s="89">
        <f t="shared" si="6"/>
        <v>34758.231135409835</v>
      </c>
      <c r="L49" s="138" t="str">
        <f t="shared" si="7"/>
        <v>Partial pension — taper applies</v>
      </c>
    </row>
    <row r="50" spans="1:12" ht="15" customHeight="1" x14ac:dyDescent="0.35">
      <c r="A50" s="135">
        <v>17</v>
      </c>
      <c r="B50" s="83">
        <f>'Pension Drawdown'!B41</f>
        <v>81</v>
      </c>
      <c r="C50" s="84">
        <f>MAX(0,'Pension Drawdown'!G41)</f>
        <v>386399.87528455467</v>
      </c>
      <c r="D50" s="84">
        <f>'Pension Drawdown'!E41</f>
        <v>27519.21396629843</v>
      </c>
      <c r="E50" s="84">
        <f t="shared" si="0"/>
        <v>386399.87528455467</v>
      </c>
      <c r="F50" s="84">
        <f t="shared" si="1"/>
        <v>7441.9971939024799</v>
      </c>
      <c r="G50" s="84">
        <f t="shared" si="2"/>
        <v>22866.809727804735</v>
      </c>
      <c r="H50" s="84">
        <f t="shared" si="3"/>
        <v>27549.001403048758</v>
      </c>
      <c r="I50" s="136">
        <f t="shared" si="4"/>
        <v>22866.809727804735</v>
      </c>
      <c r="J50" s="99">
        <f t="shared" si="5"/>
        <v>50386.023694103162</v>
      </c>
      <c r="K50" s="89">
        <f t="shared" si="6"/>
        <v>33941.281860342708</v>
      </c>
      <c r="L50" s="137" t="str">
        <f t="shared" si="7"/>
        <v>Partial pension — taper applies</v>
      </c>
    </row>
    <row r="51" spans="1:12" ht="15" customHeight="1" x14ac:dyDescent="0.35">
      <c r="A51" s="135">
        <v>18</v>
      </c>
      <c r="B51" s="83">
        <f>'Pension Drawdown'!B42</f>
        <v>82</v>
      </c>
      <c r="C51" s="92">
        <f>MAX(0,'Pension Drawdown'!G42)</f>
        <v>379782.05739536358</v>
      </c>
      <c r="D51" s="92">
        <f>'Pension Drawdown'!E42</f>
        <v>27047.991269918828</v>
      </c>
      <c r="E51" s="92">
        <f t="shared" si="0"/>
        <v>379782.05739536358</v>
      </c>
      <c r="F51" s="92">
        <f t="shared" si="1"/>
        <v>7293.0962913956801</v>
      </c>
      <c r="G51" s="92">
        <f t="shared" si="2"/>
        <v>23382.999523161641</v>
      </c>
      <c r="H51" s="92">
        <f t="shared" si="3"/>
        <v>27623.451854302159</v>
      </c>
      <c r="I51" s="136">
        <f t="shared" si="4"/>
        <v>23382.999523161641</v>
      </c>
      <c r="J51" s="99">
        <f t="shared" si="5"/>
        <v>50430.990793080469</v>
      </c>
      <c r="K51" s="89">
        <f t="shared" si="6"/>
        <v>33142.997872586391</v>
      </c>
      <c r="L51" s="138" t="str">
        <f t="shared" si="7"/>
        <v>Partial pension — taper applies</v>
      </c>
    </row>
    <row r="52" spans="1:12" ht="15" customHeight="1" x14ac:dyDescent="0.35">
      <c r="A52" s="135">
        <v>19</v>
      </c>
      <c r="B52" s="83">
        <f>'Pension Drawdown'!B43</f>
        <v>83</v>
      </c>
      <c r="C52" s="84">
        <f>MAX(0,'Pension Drawdown'!G43)</f>
        <v>373276.24607394706</v>
      </c>
      <c r="D52" s="84">
        <f>'Pension Drawdown'!E43</f>
        <v>26584.744017675454</v>
      </c>
      <c r="E52" s="84">
        <f t="shared" si="0"/>
        <v>373276.24607394706</v>
      </c>
      <c r="F52" s="84">
        <f t="shared" si="1"/>
        <v>7146.7155366638081</v>
      </c>
      <c r="G52" s="84">
        <f t="shared" si="2"/>
        <v>23890.45280623213</v>
      </c>
      <c r="H52" s="84">
        <f t="shared" si="3"/>
        <v>27696.642231668095</v>
      </c>
      <c r="I52" s="136">
        <f t="shared" si="4"/>
        <v>23890.45280623213</v>
      </c>
      <c r="J52" s="99">
        <f t="shared" si="5"/>
        <v>50475.19682390758</v>
      </c>
      <c r="K52" s="89">
        <f t="shared" si="6"/>
        <v>32362.975470769616</v>
      </c>
      <c r="L52" s="137" t="str">
        <f t="shared" si="7"/>
        <v>Partial pension — taper applies</v>
      </c>
    </row>
    <row r="53" spans="1:12" ht="15" customHeight="1" x14ac:dyDescent="0.35">
      <c r="A53" s="135">
        <v>20</v>
      </c>
      <c r="B53" s="83">
        <f>'Pension Drawdown'!B44</f>
        <v>84</v>
      </c>
      <c r="C53" s="92">
        <f>MAX(0,'Pension Drawdown'!G44)</f>
        <v>366880.54560914554</v>
      </c>
      <c r="D53" s="92">
        <f>'Pension Drawdown'!E44</f>
        <v>26129.337225176296</v>
      </c>
      <c r="E53" s="92">
        <f t="shared" si="0"/>
        <v>366880.54560914554</v>
      </c>
      <c r="F53" s="92">
        <f t="shared" si="1"/>
        <v>7002.8122762057747</v>
      </c>
      <c r="G53" s="92">
        <f t="shared" si="2"/>
        <v>24389.317442486648</v>
      </c>
      <c r="H53" s="92">
        <f t="shared" si="3"/>
        <v>27768.593861897112</v>
      </c>
      <c r="I53" s="136">
        <f t="shared" si="4"/>
        <v>24389.317442486648</v>
      </c>
      <c r="J53" s="99">
        <f t="shared" si="5"/>
        <v>50518.654667662944</v>
      </c>
      <c r="K53" s="89">
        <f t="shared" si="6"/>
        <v>31600.818691394172</v>
      </c>
      <c r="L53" s="138" t="str">
        <f t="shared" si="7"/>
        <v>Partial pension — taper applies</v>
      </c>
    </row>
    <row r="54" spans="1:12" ht="15" customHeight="1" x14ac:dyDescent="0.35">
      <c r="A54" s="135">
        <v>21</v>
      </c>
      <c r="B54" s="83">
        <f>'Pension Drawdown'!B45</f>
        <v>85</v>
      </c>
      <c r="C54" s="84">
        <f>MAX(0,'Pension Drawdown'!G45)</f>
        <v>353053.69716244284</v>
      </c>
      <c r="D54" s="84">
        <f>'Pension Drawdown'!E45</f>
        <v>33019.249104823095</v>
      </c>
      <c r="E54" s="84">
        <f t="shared" si="0"/>
        <v>353053.69716244284</v>
      </c>
      <c r="F54" s="84">
        <f t="shared" si="1"/>
        <v>6691.7081861549641</v>
      </c>
      <c r="G54" s="84">
        <f t="shared" si="2"/>
        <v>25467.81162132946</v>
      </c>
      <c r="H54" s="84">
        <f t="shared" si="3"/>
        <v>27924.145906922517</v>
      </c>
      <c r="I54" s="136">
        <f t="shared" si="4"/>
        <v>25467.81162132946</v>
      </c>
      <c r="J54" s="99">
        <f t="shared" si="5"/>
        <v>58487.060726152558</v>
      </c>
      <c r="K54" s="89">
        <f t="shared" si="6"/>
        <v>35692.953694390788</v>
      </c>
      <c r="L54" s="137" t="str">
        <f t="shared" si="7"/>
        <v>Partial pension — taper applies</v>
      </c>
    </row>
    <row r="55" spans="1:12" ht="15" customHeight="1" x14ac:dyDescent="0.35">
      <c r="A55" s="135">
        <v>22</v>
      </c>
      <c r="B55" s="83">
        <f>'Pension Drawdown'!B46</f>
        <v>86</v>
      </c>
      <c r="C55" s="92">
        <f>MAX(0,'Pension Drawdown'!G46)</f>
        <v>339745.00986128027</v>
      </c>
      <c r="D55" s="92">
        <f>'Pension Drawdown'!E46</f>
        <v>31774.832744619853</v>
      </c>
      <c r="E55" s="92">
        <f t="shared" si="0"/>
        <v>339745.00986128027</v>
      </c>
      <c r="F55" s="92">
        <f t="shared" si="1"/>
        <v>6392.2627218788057</v>
      </c>
      <c r="G55" s="92">
        <f t="shared" si="2"/>
        <v>26505.889230820139</v>
      </c>
      <c r="H55" s="92">
        <f t="shared" si="3"/>
        <v>28073.868639060598</v>
      </c>
      <c r="I55" s="136">
        <f t="shared" si="4"/>
        <v>26505.889230820139</v>
      </c>
      <c r="J55" s="99">
        <f t="shared" si="5"/>
        <v>58280.721975439992</v>
      </c>
      <c r="K55" s="89">
        <f t="shared" si="6"/>
        <v>34699.542585800118</v>
      </c>
      <c r="L55" s="138" t="str">
        <f t="shared" si="7"/>
        <v>Partial pension — taper applies</v>
      </c>
    </row>
    <row r="56" spans="1:12" ht="15" customHeight="1" x14ac:dyDescent="0.35">
      <c r="A56" s="135">
        <v>23</v>
      </c>
      <c r="B56" s="83">
        <f>'Pension Drawdown'!B47</f>
        <v>87</v>
      </c>
      <c r="C56" s="84">
        <f>MAX(0,'Pension Drawdown'!G47)</f>
        <v>326935.0656167288</v>
      </c>
      <c r="D56" s="84">
        <f>'Pension Drawdown'!E47</f>
        <v>30577.050887515223</v>
      </c>
      <c r="E56" s="84">
        <f t="shared" si="0"/>
        <v>326935.0656167288</v>
      </c>
      <c r="F56" s="84">
        <f t="shared" si="1"/>
        <v>6104.0389763763978</v>
      </c>
      <c r="G56" s="84">
        <f t="shared" si="2"/>
        <v>27505.064881895152</v>
      </c>
      <c r="H56" s="84">
        <f t="shared" si="3"/>
        <v>28217.980511811802</v>
      </c>
      <c r="I56" s="136">
        <f t="shared" si="4"/>
        <v>27505.064881895152</v>
      </c>
      <c r="J56" s="99">
        <f t="shared" si="5"/>
        <v>58082.115769410375</v>
      </c>
      <c r="K56" s="89">
        <f t="shared" si="6"/>
        <v>33737.848950704407</v>
      </c>
      <c r="L56" s="137" t="str">
        <f t="shared" si="7"/>
        <v>Partial pension — taper applies</v>
      </c>
    </row>
    <row r="57" spans="1:12" ht="15" customHeight="1" x14ac:dyDescent="0.35">
      <c r="A57" s="135">
        <v>24</v>
      </c>
      <c r="B57" s="83">
        <f>'Pension Drawdown'!B48</f>
        <v>88</v>
      </c>
      <c r="C57" s="92">
        <f>MAX(0,'Pension Drawdown'!G48)</f>
        <v>314605.17403274187</v>
      </c>
      <c r="D57" s="92">
        <f>'Pension Drawdown'!E48</f>
        <v>29424.155905505591</v>
      </c>
      <c r="E57" s="92">
        <f t="shared" si="0"/>
        <v>314605.17403274187</v>
      </c>
      <c r="F57" s="92">
        <f t="shared" si="1"/>
        <v>5826.616415736692</v>
      </c>
      <c r="G57" s="92">
        <f t="shared" si="2"/>
        <v>28466.796425446133</v>
      </c>
      <c r="H57" s="92">
        <f t="shared" si="3"/>
        <v>28356.691792131653</v>
      </c>
      <c r="I57" s="136">
        <f t="shared" si="4"/>
        <v>28356.691792131653</v>
      </c>
      <c r="J57" s="99">
        <f t="shared" si="5"/>
        <v>57780.847697637248</v>
      </c>
      <c r="K57" s="89">
        <f t="shared" si="6"/>
        <v>32744.246801869562</v>
      </c>
      <c r="L57" s="138" t="str">
        <f t="shared" si="7"/>
        <v>Partial pension — taper applies</v>
      </c>
    </row>
    <row r="58" spans="1:12" ht="15" customHeight="1" x14ac:dyDescent="0.35">
      <c r="A58" s="135">
        <v>25</v>
      </c>
      <c r="B58" s="83">
        <f>'Pension Drawdown'!B49</f>
        <v>89</v>
      </c>
      <c r="C58" s="84">
        <f>MAX(0,'Pension Drawdown'!G49)</f>
        <v>302737.34513586486</v>
      </c>
      <c r="D58" s="84">
        <f>'Pension Drawdown'!E49</f>
        <v>28314.465662946768</v>
      </c>
      <c r="E58" s="84">
        <f t="shared" si="0"/>
        <v>302737.34513586486</v>
      </c>
      <c r="F58" s="84">
        <f t="shared" si="1"/>
        <v>5559.5902655569589</v>
      </c>
      <c r="G58" s="84">
        <f t="shared" si="2"/>
        <v>28514</v>
      </c>
      <c r="H58" s="84">
        <f t="shared" si="3"/>
        <v>28490.204867221521</v>
      </c>
      <c r="I58" s="136">
        <f t="shared" si="4"/>
        <v>28490.204867221521</v>
      </c>
      <c r="J58" s="99">
        <f t="shared" si="5"/>
        <v>56804.670530168289</v>
      </c>
      <c r="K58" s="89">
        <f t="shared" si="6"/>
        <v>31405.902338758096</v>
      </c>
      <c r="L58" s="137" t="str">
        <f t="shared" si="7"/>
        <v>Full pension payable</v>
      </c>
    </row>
    <row r="59" spans="1:12" ht="15" customHeight="1" x14ac:dyDescent="0.35">
      <c r="A59" s="135">
        <v>26</v>
      </c>
      <c r="B59" s="83">
        <f>'Pension Drawdown'!B50</f>
        <v>90</v>
      </c>
      <c r="C59" s="92">
        <f>MAX(0,'Pension Drawdown'!G50)</f>
        <v>285093.01068435627</v>
      </c>
      <c r="D59" s="92">
        <f>'Pension Drawdown'!E50</f>
        <v>33301.107964945135</v>
      </c>
      <c r="E59" s="92">
        <f t="shared" si="0"/>
        <v>285093.01068435627</v>
      </c>
      <c r="F59" s="92">
        <f t="shared" si="1"/>
        <v>5162.5927403980158</v>
      </c>
      <c r="G59" s="92">
        <f t="shared" si="2"/>
        <v>28514</v>
      </c>
      <c r="H59" s="92">
        <f t="shared" si="3"/>
        <v>28514</v>
      </c>
      <c r="I59" s="136">
        <f t="shared" si="4"/>
        <v>28514</v>
      </c>
      <c r="J59" s="99">
        <f t="shared" si="5"/>
        <v>61815.107964945135</v>
      </c>
      <c r="K59" s="89">
        <f t="shared" si="6"/>
        <v>33342.487522082629</v>
      </c>
      <c r="L59" s="138" t="str">
        <f t="shared" si="7"/>
        <v>Full pension payable</v>
      </c>
    </row>
    <row r="60" spans="1:12" ht="15" customHeight="1" x14ac:dyDescent="0.35">
      <c r="A60" s="135">
        <v>27</v>
      </c>
      <c r="B60" s="83">
        <f>'Pension Drawdown'!B51</f>
        <v>91</v>
      </c>
      <c r="C60" s="84">
        <f>MAX(0,'Pension Drawdown'!G51)</f>
        <v>268472.4887393965</v>
      </c>
      <c r="D60" s="84">
        <f>'Pension Drawdown'!E51</f>
        <v>31360.23117527919</v>
      </c>
      <c r="E60" s="84">
        <f t="shared" si="0"/>
        <v>268472.4887393965</v>
      </c>
      <c r="F60" s="84">
        <f t="shared" si="1"/>
        <v>4788.6309966364215</v>
      </c>
      <c r="G60" s="84">
        <f t="shared" si="2"/>
        <v>28514</v>
      </c>
      <c r="H60" s="84">
        <f t="shared" si="3"/>
        <v>28514</v>
      </c>
      <c r="I60" s="136">
        <f t="shared" si="4"/>
        <v>28514</v>
      </c>
      <c r="J60" s="99">
        <f t="shared" si="5"/>
        <v>59874.231175279187</v>
      </c>
      <c r="K60" s="89">
        <f t="shared" si="6"/>
        <v>31507.899362396383</v>
      </c>
      <c r="L60" s="137" t="str">
        <f t="shared" si="7"/>
        <v>Full pension payable</v>
      </c>
    </row>
    <row r="61" spans="1:12" ht="15" customHeight="1" x14ac:dyDescent="0.35">
      <c r="A61" s="135">
        <v>28</v>
      </c>
      <c r="B61" s="83">
        <f>'Pension Drawdown'!B52</f>
        <v>92</v>
      </c>
      <c r="C61" s="92">
        <f>MAX(0,'Pension Drawdown'!G52)</f>
        <v>252816.37258029301</v>
      </c>
      <c r="D61" s="92">
        <f>'Pension Drawdown'!E52</f>
        <v>29531.973761333615</v>
      </c>
      <c r="E61" s="92">
        <f t="shared" si="0"/>
        <v>252816.37258029301</v>
      </c>
      <c r="F61" s="92">
        <f t="shared" si="1"/>
        <v>4436.3683830565924</v>
      </c>
      <c r="G61" s="92">
        <f t="shared" si="2"/>
        <v>28514</v>
      </c>
      <c r="H61" s="92">
        <f t="shared" si="3"/>
        <v>28514</v>
      </c>
      <c r="I61" s="136">
        <f t="shared" si="4"/>
        <v>28514</v>
      </c>
      <c r="J61" s="99">
        <f t="shared" si="5"/>
        <v>58045.973761333618</v>
      </c>
      <c r="K61" s="89">
        <f t="shared" si="6"/>
        <v>29800.787152678811</v>
      </c>
      <c r="L61" s="138" t="str">
        <f t="shared" si="7"/>
        <v>Full pension payable</v>
      </c>
    </row>
    <row r="62" spans="1:12" ht="15" customHeight="1" x14ac:dyDescent="0.35">
      <c r="A62" s="135">
        <v>29</v>
      </c>
      <c r="B62" s="83">
        <f>'Pension Drawdown'!B53</f>
        <v>93</v>
      </c>
      <c r="C62" s="84">
        <f>MAX(0,'Pension Drawdown'!G53)</f>
        <v>238068.70256132149</v>
      </c>
      <c r="D62" s="84">
        <f>'Pension Drawdown'!E53</f>
        <v>27809.800983832232</v>
      </c>
      <c r="E62" s="84">
        <f t="shared" si="0"/>
        <v>238068.70256132149</v>
      </c>
      <c r="F62" s="84">
        <f t="shared" si="1"/>
        <v>4104.5458076297336</v>
      </c>
      <c r="G62" s="84">
        <f t="shared" si="2"/>
        <v>28514</v>
      </c>
      <c r="H62" s="84">
        <f t="shared" si="3"/>
        <v>28514</v>
      </c>
      <c r="I62" s="136">
        <f t="shared" si="4"/>
        <v>28514</v>
      </c>
      <c r="J62" s="99">
        <f t="shared" si="5"/>
        <v>56323.800983832232</v>
      </c>
      <c r="K62" s="89">
        <f t="shared" si="6"/>
        <v>28211.340601737716</v>
      </c>
      <c r="L62" s="137" t="str">
        <f t="shared" si="7"/>
        <v>Full pension payable</v>
      </c>
    </row>
    <row r="63" spans="1:12" ht="15" customHeight="1" x14ac:dyDescent="0.35">
      <c r="A63" s="135">
        <v>30</v>
      </c>
      <c r="B63" s="83">
        <f>'Pension Drawdown'!B54</f>
        <v>94</v>
      </c>
      <c r="C63" s="92">
        <f>MAX(0,'Pension Drawdown'!G54)</f>
        <v>224176.76609520082</v>
      </c>
      <c r="D63" s="92">
        <f>'Pension Drawdown'!E54</f>
        <v>26187.557281745365</v>
      </c>
      <c r="E63" s="92">
        <f t="shared" si="0"/>
        <v>224176.76609520082</v>
      </c>
      <c r="F63" s="92">
        <f t="shared" si="1"/>
        <v>3791.9772371420181</v>
      </c>
      <c r="G63" s="92">
        <f t="shared" si="2"/>
        <v>28514</v>
      </c>
      <c r="H63" s="92">
        <f t="shared" si="3"/>
        <v>28514</v>
      </c>
      <c r="I63" s="136">
        <f t="shared" si="4"/>
        <v>28514</v>
      </c>
      <c r="J63" s="99">
        <f t="shared" si="5"/>
        <v>54701.557281745365</v>
      </c>
      <c r="K63" s="89">
        <f t="shared" si="6"/>
        <v>26730.531484631967</v>
      </c>
      <c r="L63" s="138" t="str">
        <f t="shared" si="7"/>
        <v>Full pension payable</v>
      </c>
    </row>
    <row r="64" spans="1:12" ht="15" customHeight="1" x14ac:dyDescent="0.35">
      <c r="A64" s="135">
        <v>31</v>
      </c>
      <c r="B64" s="83">
        <f>'Pension Drawdown'!B55</f>
        <v>95</v>
      </c>
      <c r="C64" s="84">
        <f>MAX(0,'Pension Drawdown'!G55)</f>
        <v>204180.6604276422</v>
      </c>
      <c r="D64" s="84">
        <f>'Pension Drawdown'!E55</f>
        <v>31384.747253328118</v>
      </c>
      <c r="E64" s="84">
        <f t="shared" si="0"/>
        <v>204180.6604276422</v>
      </c>
      <c r="F64" s="84">
        <f t="shared" si="1"/>
        <v>3342.0648596219494</v>
      </c>
      <c r="G64" s="84">
        <f t="shared" si="2"/>
        <v>28514</v>
      </c>
      <c r="H64" s="84">
        <f t="shared" si="3"/>
        <v>28514</v>
      </c>
      <c r="I64" s="136">
        <f t="shared" si="4"/>
        <v>28514</v>
      </c>
      <c r="J64" s="99">
        <f t="shared" si="5"/>
        <v>59898.747253328118</v>
      </c>
      <c r="K64" s="89">
        <f t="shared" si="6"/>
        <v>28556.289604527949</v>
      </c>
      <c r="L64" s="137" t="str">
        <f t="shared" si="7"/>
        <v>Full pension payable</v>
      </c>
    </row>
    <row r="65" spans="1:22" ht="15" customHeight="1" x14ac:dyDescent="0.35">
      <c r="A65" s="135">
        <v>32</v>
      </c>
      <c r="B65" s="83">
        <f>'Pension Drawdown'!B56</f>
        <v>96</v>
      </c>
      <c r="C65" s="92">
        <f>MAX(0,'Pension Drawdown'!G56)</f>
        <v>185961.2087486462</v>
      </c>
      <c r="D65" s="92">
        <f>'Pension Drawdown'!E56</f>
        <v>28585.29245986991</v>
      </c>
      <c r="E65" s="92">
        <f t="shared" si="0"/>
        <v>185961.2087486462</v>
      </c>
      <c r="F65" s="92">
        <f t="shared" si="1"/>
        <v>2932.1271968445394</v>
      </c>
      <c r="G65" s="92">
        <f t="shared" si="2"/>
        <v>28514</v>
      </c>
      <c r="H65" s="92">
        <f t="shared" si="3"/>
        <v>28514</v>
      </c>
      <c r="I65" s="136">
        <f t="shared" si="4"/>
        <v>28514</v>
      </c>
      <c r="J65" s="99">
        <f t="shared" si="5"/>
        <v>57099.29245986991</v>
      </c>
      <c r="K65" s="89">
        <f t="shared" si="6"/>
        <v>26557.726838294569</v>
      </c>
      <c r="L65" s="138" t="str">
        <f t="shared" si="7"/>
        <v>Full pension payable</v>
      </c>
    </row>
    <row r="66" spans="1:22" ht="15" customHeight="1" x14ac:dyDescent="0.35">
      <c r="A66" s="135">
        <v>33</v>
      </c>
      <c r="B66" s="83">
        <f>'Pension Drawdown'!B57</f>
        <v>97</v>
      </c>
      <c r="C66" s="84">
        <f>MAX(0,'Pension Drawdown'!G57)</f>
        <v>169360.55535132898</v>
      </c>
      <c r="D66" s="84">
        <f>'Pension Drawdown'!E57</f>
        <v>26034.569224810471</v>
      </c>
      <c r="E66" s="84">
        <f t="shared" si="0"/>
        <v>169360.55535132898</v>
      </c>
      <c r="F66" s="84">
        <f t="shared" si="1"/>
        <v>2558.6124954049019</v>
      </c>
      <c r="G66" s="84">
        <f t="shared" si="2"/>
        <v>28514</v>
      </c>
      <c r="H66" s="84">
        <f t="shared" si="3"/>
        <v>28514</v>
      </c>
      <c r="I66" s="136">
        <f t="shared" si="4"/>
        <v>28514</v>
      </c>
      <c r="J66" s="99">
        <f t="shared" si="5"/>
        <v>54548.569224810475</v>
      </c>
      <c r="K66" s="89">
        <f t="shared" si="6"/>
        <v>24752.53431530395</v>
      </c>
      <c r="L66" s="137" t="str">
        <f t="shared" si="7"/>
        <v>Full pension payable</v>
      </c>
    </row>
    <row r="67" spans="1:22" ht="15" customHeight="1" x14ac:dyDescent="0.35">
      <c r="A67" s="135">
        <v>34</v>
      </c>
      <c r="B67" s="83">
        <f>'Pension Drawdown'!B58</f>
        <v>98</v>
      </c>
      <c r="C67" s="92">
        <f>MAX(0,'Pension Drawdown'!G58)</f>
        <v>154234.87000836342</v>
      </c>
      <c r="D67" s="92">
        <f>'Pension Drawdown'!E58</f>
        <v>23710.477749186059</v>
      </c>
      <c r="E67" s="92">
        <f t="shared" si="0"/>
        <v>154234.87000836342</v>
      </c>
      <c r="F67" s="92">
        <f t="shared" si="1"/>
        <v>2218.2845751881769</v>
      </c>
      <c r="G67" s="92">
        <f t="shared" si="2"/>
        <v>28514</v>
      </c>
      <c r="H67" s="92">
        <f t="shared" si="3"/>
        <v>28514</v>
      </c>
      <c r="I67" s="136">
        <f t="shared" si="4"/>
        <v>28514</v>
      </c>
      <c r="J67" s="99">
        <f t="shared" si="5"/>
        <v>52224.477749186059</v>
      </c>
      <c r="K67" s="89">
        <f t="shared" si="6"/>
        <v>23119.931751955613</v>
      </c>
      <c r="L67" s="138" t="str">
        <f t="shared" si="7"/>
        <v>Full pension payable</v>
      </c>
    </row>
    <row r="68" spans="1:22" ht="15" customHeight="1" x14ac:dyDescent="0.35">
      <c r="A68" s="135">
        <v>35</v>
      </c>
      <c r="B68" s="83">
        <f>'Pension Drawdown'!B59</f>
        <v>99</v>
      </c>
      <c r="C68" s="84">
        <f>MAX(0,'Pension Drawdown'!G59)</f>
        <v>140453.10180812032</v>
      </c>
      <c r="D68" s="84">
        <f>'Pension Drawdown'!E59</f>
        <v>21592.881801170879</v>
      </c>
      <c r="E68" s="84">
        <f t="shared" si="0"/>
        <v>140453.10180812032</v>
      </c>
      <c r="F68" s="84">
        <f t="shared" si="1"/>
        <v>1908.1947906827072</v>
      </c>
      <c r="G68" s="84">
        <f t="shared" si="2"/>
        <v>28514</v>
      </c>
      <c r="H68" s="84">
        <f t="shared" si="3"/>
        <v>28514</v>
      </c>
      <c r="I68" s="136">
        <f t="shared" si="4"/>
        <v>28514</v>
      </c>
      <c r="J68" s="99">
        <f t="shared" si="5"/>
        <v>50106.881801170879</v>
      </c>
      <c r="K68" s="89">
        <f t="shared" si="6"/>
        <v>21641.429973163144</v>
      </c>
      <c r="L68" s="137" t="str">
        <f t="shared" si="7"/>
        <v>Full pension payable</v>
      </c>
    </row>
    <row r="69" spans="1:22" ht="15" customHeight="1" x14ac:dyDescent="0.35">
      <c r="A69" s="135">
        <v>36</v>
      </c>
      <c r="B69" s="83">
        <f>'Pension Drawdown'!B60</f>
        <v>100</v>
      </c>
      <c r="C69" s="92">
        <f>MAX(0,'Pension Drawdown'!G60)</f>
        <v>127895.84371246884</v>
      </c>
      <c r="D69" s="92">
        <f>'Pension Drawdown'!E60</f>
        <v>19663.434253136846</v>
      </c>
      <c r="E69" s="92">
        <f t="shared" si="0"/>
        <v>127895.84371246884</v>
      </c>
      <c r="F69" s="92">
        <f t="shared" si="1"/>
        <v>1625.6564835305487</v>
      </c>
      <c r="G69" s="92">
        <f t="shared" si="2"/>
        <v>28514</v>
      </c>
      <c r="H69" s="92">
        <f t="shared" si="3"/>
        <v>28514</v>
      </c>
      <c r="I69" s="136">
        <f t="shared" si="4"/>
        <v>28514</v>
      </c>
      <c r="J69" s="99">
        <f t="shared" si="5"/>
        <v>48177.434253136846</v>
      </c>
      <c r="K69" s="89">
        <f t="shared" si="6"/>
        <v>20300.576846873675</v>
      </c>
      <c r="L69" s="138" t="str">
        <f t="shared" si="7"/>
        <v>Full pension payable</v>
      </c>
    </row>
    <row r="70" spans="1:22" ht="19.5" customHeight="1" x14ac:dyDescent="0.35">
      <c r="A70" s="78" t="s">
        <v>355</v>
      </c>
      <c r="B70" s="98"/>
      <c r="C70" s="98"/>
      <c r="D70" s="58">
        <f>SUM(D35:D69)</f>
        <v>893165.3033369726</v>
      </c>
      <c r="E70" s="98"/>
      <c r="F70" s="58">
        <f t="shared" ref="F70:K70" si="8">SUM(F35:F69)</f>
        <v>214700.91084811572</v>
      </c>
      <c r="G70" s="58">
        <f t="shared" si="8"/>
        <v>864269.34794306662</v>
      </c>
      <c r="H70" s="58">
        <f t="shared" si="8"/>
        <v>975218.07235901</v>
      </c>
      <c r="I70" s="58">
        <f t="shared" si="8"/>
        <v>864135.44817697362</v>
      </c>
      <c r="J70" s="58">
        <f t="shared" si="8"/>
        <v>1757300.7515139461</v>
      </c>
      <c r="K70" s="58">
        <f t="shared" si="8"/>
        <v>1130120.2176936069</v>
      </c>
      <c r="L70" s="98"/>
    </row>
    <row r="71" spans="1:22" ht="6" customHeight="1" x14ac:dyDescent="0.35">
      <c r="A71" s="19"/>
      <c r="B71" s="19"/>
      <c r="C71" s="19"/>
      <c r="D71" s="19"/>
      <c r="E71" s="19"/>
      <c r="F71" s="19"/>
      <c r="G71" s="19"/>
      <c r="H71" s="19"/>
      <c r="I71" s="19"/>
      <c r="J71" s="19"/>
      <c r="K71" s="19"/>
      <c r="L71" s="19"/>
      <c r="M71" s="19"/>
      <c r="N71" s="19"/>
      <c r="O71" s="19"/>
      <c r="P71" s="19"/>
      <c r="Q71" s="19"/>
      <c r="R71" s="19"/>
      <c r="S71" s="19"/>
      <c r="T71" s="19"/>
      <c r="U71" s="19"/>
      <c r="V71" s="19"/>
    </row>
    <row r="72" spans="1:22" ht="19.5" customHeight="1" x14ac:dyDescent="0.35">
      <c r="A72" s="7" t="s">
        <v>630</v>
      </c>
      <c r="B72" s="7"/>
      <c r="C72" s="7"/>
      <c r="D72" s="7"/>
      <c r="E72" s="7"/>
      <c r="F72" s="7"/>
      <c r="G72" s="7"/>
      <c r="H72" s="7"/>
      <c r="I72" s="7"/>
      <c r="J72" s="7"/>
      <c r="K72" s="7"/>
      <c r="L72" s="7"/>
      <c r="M72" s="7"/>
      <c r="N72" s="7"/>
      <c r="O72" s="7"/>
      <c r="P72" s="7"/>
      <c r="Q72" s="7"/>
      <c r="R72" s="7"/>
      <c r="S72" s="7"/>
      <c r="T72" s="7"/>
      <c r="U72" s="7"/>
      <c r="V72" s="7"/>
    </row>
    <row r="94" spans="1:22" ht="36" customHeight="1" x14ac:dyDescent="0.35">
      <c r="A94" s="2" t="s">
        <v>631</v>
      </c>
      <c r="B94" s="2"/>
      <c r="C94" s="2"/>
      <c r="D94" s="2"/>
      <c r="E94" s="2"/>
      <c r="F94" s="2"/>
      <c r="G94" s="2"/>
      <c r="H94" s="2"/>
      <c r="I94" s="2"/>
      <c r="J94" s="2"/>
      <c r="K94" s="2"/>
      <c r="L94" s="2"/>
      <c r="M94" s="2"/>
      <c r="N94" s="2"/>
      <c r="O94" s="2"/>
      <c r="P94" s="2"/>
      <c r="Q94" s="2"/>
      <c r="R94" s="2"/>
      <c r="S94" s="2"/>
      <c r="T94" s="2"/>
      <c r="U94" s="2"/>
      <c r="V94" s="2"/>
    </row>
  </sheetData>
  <mergeCells count="12">
    <mergeCell ref="A94:V94"/>
    <mergeCell ref="B12:D12"/>
    <mergeCell ref="B13:D13"/>
    <mergeCell ref="E13:F13"/>
    <mergeCell ref="A32:V32"/>
    <mergeCell ref="A72:V72"/>
    <mergeCell ref="A1:V1"/>
    <mergeCell ref="A2:V2"/>
    <mergeCell ref="A4:F4"/>
    <mergeCell ref="H4:I4"/>
    <mergeCell ref="K4:L4"/>
    <mergeCell ref="N4:O4"/>
  </mergeCells>
  <pageMargins left="0.75" right="0.75" top="1" bottom="1"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 Visual Dashboard</vt:lpstr>
      <vt:lpstr>Parameters</vt:lpstr>
      <vt:lpstr>Summary Dashboard</vt:lpstr>
      <vt:lpstr>30-Year Projection</vt:lpstr>
      <vt:lpstr>Investment Options</vt:lpstr>
      <vt:lpstr>Pension Drawdown</vt:lpstr>
      <vt:lpstr>Real Returns</vt:lpstr>
      <vt:lpstr>ChartData</vt:lpstr>
      <vt:lpstr>Age Pension &amp; Assets Test</vt:lpstr>
      <vt:lpstr>Super Tax Calculator</vt:lpstr>
      <vt:lpstr>Death Benefits &amp; Estate</vt:lpstr>
      <vt:lpstr>SMSF Guide</vt:lpstr>
      <vt:lpstr>Fund Choice &amp; Consolidation</vt:lpstr>
      <vt:lpstr>Fees — Silent Killer</vt:lpstr>
      <vt:lpstr>Fund Performance &amp; Returns</vt:lpstr>
      <vt:lpstr>Gender Gap in Super</vt:lpstr>
      <vt:lpstr>FHSS Scheme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Kush Dahari</cp:lastModifiedBy>
  <cp:revision>28</cp:revision>
  <dcterms:created xsi:type="dcterms:W3CDTF">2026-04-02T22:02:53Z</dcterms:created>
  <dcterms:modified xsi:type="dcterms:W3CDTF">2026-05-31T10:25:10Z</dcterms:modified>
  <dc:language>en-US</dc:language>
</cp:coreProperties>
</file>